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3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12.xml" ContentType="application/vnd.openxmlformats-officedocument.drawing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1 - Transporte e Mobilidade\1_0071_2020 - SEINFRA-MG - TERGIP\2 - desenvolvimento\2.3 - execuçao\Estudo I - Demanda Projetada\Final\"/>
    </mc:Choice>
  </mc:AlternateContent>
  <xr:revisionPtr revIDLastSave="0" documentId="13_ncr:1_{59F90048-7189-463D-85A6-E3BAAB155D4F}" xr6:coauthVersionLast="46" xr6:coauthVersionMax="47" xr10:uidLastSave="{00000000-0000-0000-0000-000000000000}"/>
  <bookViews>
    <workbookView xWindow="-120" yWindow="480" windowWidth="29040" windowHeight="15840" tabRatio="902" xr2:uid="{E1224782-C359-41BA-9C4B-29D6A6F82915}"/>
  </bookViews>
  <sheets>
    <sheet name="Sumário" sheetId="58" r:id="rId1"/>
    <sheet name="DADOS" sheetId="59" r:id="rId2"/>
    <sheet name="EmbDesemBUS" sheetId="1" r:id="rId3"/>
    <sheet name="Estacionamento" sheetId="2" r:id="rId4"/>
    <sheet name="Planilha4" sheetId="35" state="hidden" r:id="rId5"/>
    <sheet name="Sanitários" sheetId="3" r:id="rId6"/>
    <sheet name="Gráfico 1" sheetId="37" r:id="rId7"/>
    <sheet name="Tabela 1" sheetId="32" r:id="rId8"/>
    <sheet name="Tabela 2" sheetId="14" r:id="rId9"/>
    <sheet name="Gráfico 2" sheetId="39" r:id="rId10"/>
    <sheet name="Tabela 3" sheetId="40" r:id="rId11"/>
    <sheet name="Tabela 4" sheetId="60" r:id="rId12"/>
    <sheet name="Gráfico 3" sheetId="41" r:id="rId13"/>
    <sheet name="Tabela 5" sheetId="42" r:id="rId14"/>
    <sheet name="Tabela 6" sheetId="43" r:id="rId15"/>
    <sheet name="Tabela 7" sheetId="44" r:id="rId16"/>
    <sheet name="Tabela 8" sheetId="45" r:id="rId17"/>
    <sheet name="Tabela 9" sheetId="46" r:id="rId18"/>
    <sheet name="Gráfico 4" sheetId="48" r:id="rId19"/>
    <sheet name="Tabela 10" sheetId="49" r:id="rId20"/>
    <sheet name="Tabela 11" sheetId="61" r:id="rId21"/>
    <sheet name="Tabela 12" sheetId="50" r:id="rId22"/>
    <sheet name="Tabela 13" sheetId="51" r:id="rId23"/>
    <sheet name="Tabela 14" sheetId="52" r:id="rId24"/>
    <sheet name="Tabela 15" sheetId="9" r:id="rId25"/>
    <sheet name="Tabela 16" sheetId="11" r:id="rId26"/>
    <sheet name="Tabela 17" sheetId="10" r:id="rId27"/>
    <sheet name="Gráfico 5" sheetId="53" r:id="rId28"/>
    <sheet name="Tabela 18" sheetId="54" r:id="rId29"/>
    <sheet name="Tabela 19 e Gráfico 6" sheetId="34" r:id="rId30"/>
    <sheet name="Tabela 19 e Gráfico 6 (2)" sheetId="62" state="hidden" r:id="rId31"/>
    <sheet name="Var_pib_anual" sheetId="28" state="hidden" r:id="rId32"/>
    <sheet name="Var_pop_anual" sheetId="30" state="hidden" r:id="rId33"/>
    <sheet name="Var_pib_Var_pop_Demanda" sheetId="31" state="hidden" r:id="rId34"/>
    <sheet name="%_CO_CI_CP" sheetId="13" state="hidden" r:id="rId35"/>
    <sheet name="Emb_Desemb_Conc_CP_CI_CO" sheetId="33" state="hidden" r:id="rId36"/>
    <sheet name="Emb_Desemb_Conc_CO" sheetId="16" state="hidden" r:id="rId37"/>
    <sheet name="Pess_circ_Conc_CO" sheetId="19" state="hidden" r:id="rId38"/>
    <sheet name="Estac_Conc_CO" sheetId="20" state="hidden" r:id="rId39"/>
    <sheet name="Sanit_Conc_CO" sheetId="21" state="hidden" r:id="rId40"/>
    <sheet name="Emb_Desemb_Conc_CI" sheetId="17" state="hidden" r:id="rId41"/>
    <sheet name="Pess_circ_Conc_CI" sheetId="22" state="hidden" r:id="rId42"/>
    <sheet name="Estac_Conc_CI" sheetId="23" state="hidden" r:id="rId43"/>
    <sheet name="Sanit_Conc_CI" sheetId="24" state="hidden" r:id="rId44"/>
    <sheet name="Emb_Desemb_Conc_CP" sheetId="18" state="hidden" r:id="rId45"/>
    <sheet name="Pess_circ_Conc_CP" sheetId="25" state="hidden" r:id="rId46"/>
    <sheet name="Estac_Conc_CP" sheetId="26" state="hidden" r:id="rId47"/>
    <sheet name="Sanit_Conc_CP" sheetId="27" state="hidden" r:id="rId48"/>
    <sheet name="PIB" sheetId="4" state="hidden" r:id="rId49"/>
    <sheet name="Gráfico PIB" sheetId="12" state="hidden" r:id="rId50"/>
    <sheet name="Planilha3" sheetId="8" state="hidden" r:id="rId51"/>
    <sheet name="Planilha2" sheetId="5" state="hidden" r:id="rId52"/>
    <sheet name="Planilha1" sheetId="6" state="hidden" r:id="rId53"/>
    <sheet name="PIB mercado" sheetId="7" state="hidden" r:id="rId54"/>
  </sheets>
  <definedNames>
    <definedName name="_xlnm._FilterDatabase" localSheetId="1" hidden="1">DADOS!$A$1:$G$111</definedName>
    <definedName name="_xlnm._FilterDatabase" localSheetId="2" hidden="1">EmbDesemBUS!$A$1:$BA$111</definedName>
    <definedName name="_ftn1" localSheetId="7">'Tabela 1'!$A$17</definedName>
    <definedName name="_ftn1" localSheetId="8">'Tabela 2'!$A$14</definedName>
    <definedName name="_ftn1" localSheetId="10">'Tabela 3'!$A$4</definedName>
    <definedName name="_ftn1" localSheetId="11">'Tabela 4'!#REF!</definedName>
    <definedName name="_ftnref1" localSheetId="7">'Tabela 1'!$A$9</definedName>
    <definedName name="_ftnref1" localSheetId="8">'Tabela 2'!$A$6</definedName>
    <definedName name="_ftnref1" localSheetId="10">'Tabela 3'!#REF!</definedName>
    <definedName name="_ftnref1" localSheetId="11">'Tabela 4'!#REF!</definedName>
    <definedName name="_Hlk63689205" localSheetId="10">'Tabela 3'!#REF!</definedName>
    <definedName name="_Hlk63689205" localSheetId="11">'Tabela 4'!#REF!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5" i="62" l="1"/>
  <c r="F44" i="62"/>
  <c r="E44" i="62"/>
  <c r="D44" i="62"/>
  <c r="D46" i="62" s="1"/>
  <c r="F43" i="62"/>
  <c r="E43" i="62"/>
  <c r="D43" i="62"/>
  <c r="F42" i="62"/>
  <c r="E42" i="62"/>
  <c r="D42" i="62"/>
  <c r="F41" i="62"/>
  <c r="E41" i="62"/>
  <c r="D41" i="62"/>
  <c r="F40" i="62"/>
  <c r="E40" i="62"/>
  <c r="D40" i="62"/>
  <c r="F39" i="62"/>
  <c r="E39" i="62"/>
  <c r="D39" i="62"/>
  <c r="F38" i="62"/>
  <c r="E38" i="62"/>
  <c r="D38" i="62"/>
  <c r="F37" i="62"/>
  <c r="E37" i="62"/>
  <c r="D37" i="62"/>
  <c r="F36" i="62"/>
  <c r="E36" i="62"/>
  <c r="D36" i="62"/>
  <c r="F35" i="62"/>
  <c r="E35" i="62"/>
  <c r="D35" i="62"/>
  <c r="F34" i="62"/>
  <c r="E34" i="62"/>
  <c r="D34" i="62"/>
  <c r="F33" i="62"/>
  <c r="E33" i="62"/>
  <c r="D33" i="62"/>
  <c r="F32" i="62"/>
  <c r="E32" i="62"/>
  <c r="D32" i="62"/>
  <c r="F31" i="62"/>
  <c r="E31" i="62"/>
  <c r="D31" i="62"/>
  <c r="F30" i="62"/>
  <c r="E30" i="62"/>
  <c r="D30" i="62"/>
  <c r="F29" i="62"/>
  <c r="E29" i="62"/>
  <c r="D29" i="62"/>
  <c r="F28" i="62"/>
  <c r="E28" i="62"/>
  <c r="D28" i="62"/>
  <c r="F27" i="62"/>
  <c r="E27" i="62"/>
  <c r="D27" i="62"/>
  <c r="F26" i="62"/>
  <c r="E26" i="62"/>
  <c r="D26" i="62"/>
  <c r="F25" i="62"/>
  <c r="E25" i="62"/>
  <c r="D25" i="62"/>
  <c r="F24" i="62"/>
  <c r="E24" i="62"/>
  <c r="D24" i="62"/>
  <c r="F23" i="62"/>
  <c r="E23" i="62"/>
  <c r="D23" i="62"/>
  <c r="F22" i="62"/>
  <c r="E22" i="62"/>
  <c r="D22" i="62"/>
  <c r="F21" i="62"/>
  <c r="E21" i="62"/>
  <c r="D21" i="62"/>
  <c r="F20" i="62"/>
  <c r="E20" i="62"/>
  <c r="D20" i="62"/>
  <c r="F19" i="62"/>
  <c r="E19" i="62"/>
  <c r="D19" i="62"/>
  <c r="F18" i="62"/>
  <c r="E18" i="62"/>
  <c r="D18" i="62"/>
  <c r="F17" i="62"/>
  <c r="E17" i="62"/>
  <c r="D17" i="62"/>
  <c r="F16" i="62"/>
  <c r="E16" i="62"/>
  <c r="D16" i="62"/>
  <c r="F15" i="62"/>
  <c r="E15" i="62"/>
  <c r="D15" i="62"/>
  <c r="A15" i="62"/>
  <c r="A16" i="62" s="1"/>
  <c r="A17" i="62" s="1"/>
  <c r="A18" i="62" s="1"/>
  <c r="A19" i="62" s="1"/>
  <c r="A20" i="62" s="1"/>
  <c r="A21" i="62" s="1"/>
  <c r="A22" i="62" s="1"/>
  <c r="A23" i="62" s="1"/>
  <c r="A24" i="62" s="1"/>
  <c r="A25" i="62" s="1"/>
  <c r="A26" i="62" s="1"/>
  <c r="A27" i="62" s="1"/>
  <c r="A28" i="62" s="1"/>
  <c r="A29" i="62" s="1"/>
  <c r="A30" i="62" s="1"/>
  <c r="A31" i="62" s="1"/>
  <c r="A32" i="62" s="1"/>
  <c r="A33" i="62" s="1"/>
  <c r="A34" i="62" s="1"/>
  <c r="A35" i="62" s="1"/>
  <c r="A36" i="62" s="1"/>
  <c r="A37" i="62" s="1"/>
  <c r="A38" i="62" s="1"/>
  <c r="A39" i="62" s="1"/>
  <c r="A40" i="62" s="1"/>
  <c r="A41" i="62" s="1"/>
  <c r="A42" i="62" s="1"/>
  <c r="A43" i="62" s="1"/>
  <c r="A44" i="62" s="1"/>
  <c r="F14" i="62"/>
  <c r="E14" i="62"/>
  <c r="D14" i="62"/>
  <c r="E13" i="62"/>
  <c r="C13" i="62"/>
  <c r="F13" i="62" s="1"/>
  <c r="G13" i="62" s="1"/>
  <c r="H13" i="62" s="1"/>
  <c r="C12" i="62"/>
  <c r="C11" i="62"/>
  <c r="C10" i="62"/>
  <c r="C9" i="62"/>
  <c r="C8" i="62"/>
  <c r="C7" i="62"/>
  <c r="C6" i="62"/>
  <c r="C5" i="62"/>
  <c r="B113" i="2"/>
  <c r="E12" i="61"/>
  <c r="D12" i="61"/>
  <c r="C12" i="61"/>
  <c r="B12" i="61"/>
  <c r="E11" i="61"/>
  <c r="D11" i="61"/>
  <c r="C11" i="61"/>
  <c r="B11" i="61"/>
  <c r="E10" i="61"/>
  <c r="D10" i="61"/>
  <c r="C10" i="61"/>
  <c r="B10" i="61"/>
  <c r="E9" i="61"/>
  <c r="D9" i="61"/>
  <c r="C9" i="61"/>
  <c r="B9" i="61"/>
  <c r="E8" i="61"/>
  <c r="D8" i="61"/>
  <c r="C8" i="61"/>
  <c r="B8" i="61"/>
  <c r="E7" i="61"/>
  <c r="D7" i="61"/>
  <c r="C7" i="61"/>
  <c r="B7" i="61"/>
  <c r="E12" i="60"/>
  <c r="D12" i="60"/>
  <c r="C12" i="60"/>
  <c r="B12" i="60"/>
  <c r="E11" i="60"/>
  <c r="D11" i="60"/>
  <c r="C11" i="60"/>
  <c r="B11" i="60"/>
  <c r="E10" i="60"/>
  <c r="D10" i="60"/>
  <c r="C10" i="60"/>
  <c r="B10" i="60"/>
  <c r="E9" i="60"/>
  <c r="D9" i="60"/>
  <c r="C9" i="60"/>
  <c r="B9" i="60"/>
  <c r="E8" i="60"/>
  <c r="D8" i="60"/>
  <c r="C8" i="60"/>
  <c r="B8" i="60"/>
  <c r="E7" i="60"/>
  <c r="D7" i="60"/>
  <c r="C7" i="60"/>
  <c r="B7" i="60"/>
  <c r="D13" i="62" l="1"/>
  <c r="D45" i="62"/>
  <c r="F11" i="43"/>
  <c r="F10" i="43"/>
  <c r="E11" i="43"/>
  <c r="E10" i="43"/>
  <c r="E9" i="43"/>
  <c r="E8" i="43"/>
  <c r="E7" i="43"/>
  <c r="E6" i="43"/>
  <c r="E5" i="43"/>
  <c r="D11" i="43"/>
  <c r="C11" i="43"/>
  <c r="D10" i="43"/>
  <c r="D9" i="43"/>
  <c r="D8" i="43"/>
  <c r="D7" i="43"/>
  <c r="D6" i="43"/>
  <c r="D5" i="43"/>
  <c r="C10" i="43"/>
  <c r="C9" i="43"/>
  <c r="C8" i="43"/>
  <c r="C7" i="43"/>
  <c r="C6" i="43"/>
  <c r="B6" i="43"/>
  <c r="C5" i="43"/>
  <c r="B10" i="43"/>
  <c r="B8" i="43"/>
  <c r="B5" i="43"/>
  <c r="G20" i="10"/>
  <c r="H20" i="10"/>
  <c r="G19" i="10"/>
  <c r="H19" i="10"/>
  <c r="G18" i="10"/>
  <c r="H18" i="10"/>
  <c r="E20" i="10"/>
  <c r="E19" i="10"/>
  <c r="E18" i="10"/>
  <c r="E7" i="10"/>
  <c r="E8" i="10"/>
  <c r="E9" i="10"/>
  <c r="E10" i="10"/>
  <c r="E11" i="10"/>
  <c r="E12" i="10"/>
  <c r="E13" i="10"/>
  <c r="E14" i="10"/>
  <c r="E15" i="10"/>
  <c r="E16" i="10"/>
  <c r="E17" i="10"/>
  <c r="E6" i="10"/>
  <c r="F20" i="10"/>
  <c r="F19" i="10"/>
  <c r="F18" i="10"/>
  <c r="D20" i="10"/>
  <c r="D19" i="10"/>
  <c r="D18" i="10"/>
  <c r="C20" i="10"/>
  <c r="C19" i="10"/>
  <c r="C18" i="10"/>
  <c r="B20" i="10"/>
  <c r="B19" i="10"/>
  <c r="B18" i="10"/>
  <c r="B7" i="10"/>
  <c r="B8" i="10"/>
  <c r="B9" i="10"/>
  <c r="B10" i="10"/>
  <c r="B11" i="10"/>
  <c r="B12" i="10"/>
  <c r="B13" i="10"/>
  <c r="B14" i="10"/>
  <c r="B15" i="10"/>
  <c r="B16" i="10"/>
  <c r="B17" i="10"/>
  <c r="B6" i="10"/>
  <c r="C6" i="17" l="1"/>
  <c r="S31" i="7"/>
  <c r="C7" i="30"/>
  <c r="G111" i="59" l="1"/>
  <c r="F111" i="59"/>
  <c r="F110" i="59"/>
  <c r="E110" i="59"/>
  <c r="D110" i="59"/>
  <c r="G110" i="59" s="1"/>
  <c r="F109" i="59"/>
  <c r="E109" i="59"/>
  <c r="D109" i="59"/>
  <c r="G109" i="59" s="1"/>
  <c r="F108" i="59"/>
  <c r="E108" i="59"/>
  <c r="D108" i="59"/>
  <c r="G108" i="59" s="1"/>
  <c r="F107" i="59"/>
  <c r="E107" i="59"/>
  <c r="D107" i="59"/>
  <c r="G107" i="59" s="1"/>
  <c r="F106" i="59"/>
  <c r="E106" i="59"/>
  <c r="D106" i="59"/>
  <c r="G106" i="59" s="1"/>
  <c r="G105" i="59"/>
  <c r="F105" i="59"/>
  <c r="G104" i="59"/>
  <c r="F104" i="59"/>
  <c r="G103" i="59"/>
  <c r="F103" i="59"/>
  <c r="G102" i="59"/>
  <c r="F102" i="59"/>
  <c r="G101" i="59"/>
  <c r="F101" i="59"/>
  <c r="G100" i="59"/>
  <c r="F100" i="59"/>
  <c r="G99" i="59"/>
  <c r="F99" i="59"/>
  <c r="G98" i="59"/>
  <c r="F98" i="59"/>
  <c r="G97" i="59"/>
  <c r="F97" i="59"/>
  <c r="G96" i="59"/>
  <c r="F96" i="59"/>
  <c r="G95" i="59"/>
  <c r="F95" i="59"/>
  <c r="G94" i="59"/>
  <c r="F94" i="59"/>
  <c r="G93" i="59"/>
  <c r="F93" i="59"/>
  <c r="G92" i="59"/>
  <c r="F92" i="59"/>
  <c r="G91" i="59"/>
  <c r="F91" i="59"/>
  <c r="G90" i="59"/>
  <c r="F90" i="59"/>
  <c r="G89" i="59"/>
  <c r="F89" i="59"/>
  <c r="G88" i="59"/>
  <c r="F88" i="59"/>
  <c r="G87" i="59"/>
  <c r="F87" i="59"/>
  <c r="G86" i="59"/>
  <c r="F86" i="59"/>
  <c r="G85" i="59"/>
  <c r="F85" i="59"/>
  <c r="G84" i="59"/>
  <c r="F84" i="59"/>
  <c r="G83" i="59"/>
  <c r="F83" i="59"/>
  <c r="G82" i="59"/>
  <c r="F82" i="59"/>
  <c r="G81" i="59"/>
  <c r="F81" i="59"/>
  <c r="G80" i="59"/>
  <c r="F80" i="59"/>
  <c r="G79" i="59"/>
  <c r="F79" i="59"/>
  <c r="G78" i="59"/>
  <c r="F78" i="59"/>
  <c r="G77" i="59"/>
  <c r="F77" i="59"/>
  <c r="G76" i="59"/>
  <c r="F76" i="59"/>
  <c r="G75" i="59"/>
  <c r="F75" i="59"/>
  <c r="G74" i="59"/>
  <c r="F74" i="59"/>
  <c r="G73" i="59"/>
  <c r="F73" i="59"/>
  <c r="G72" i="59"/>
  <c r="F72" i="59"/>
  <c r="G71" i="59"/>
  <c r="F71" i="59"/>
  <c r="G70" i="59"/>
  <c r="F70" i="59"/>
  <c r="G69" i="59"/>
  <c r="F69" i="59"/>
  <c r="G68" i="59"/>
  <c r="F68" i="59"/>
  <c r="G67" i="59"/>
  <c r="F67" i="59"/>
  <c r="G66" i="59"/>
  <c r="F66" i="59"/>
  <c r="G65" i="59"/>
  <c r="F65" i="59"/>
  <c r="G64" i="59"/>
  <c r="F64" i="59"/>
  <c r="G63" i="59"/>
  <c r="F63" i="59"/>
  <c r="G62" i="59"/>
  <c r="F62" i="59"/>
  <c r="G61" i="59"/>
  <c r="F61" i="59"/>
  <c r="G60" i="59"/>
  <c r="F60" i="59"/>
  <c r="G59" i="59"/>
  <c r="F59" i="59"/>
  <c r="G58" i="59"/>
  <c r="F58" i="59"/>
  <c r="G57" i="59"/>
  <c r="F57" i="59"/>
  <c r="G56" i="59"/>
  <c r="F56" i="59"/>
  <c r="G55" i="59"/>
  <c r="F55" i="59"/>
  <c r="G54" i="59"/>
  <c r="F54" i="59"/>
  <c r="G53" i="59"/>
  <c r="F53" i="59"/>
  <c r="G52" i="59"/>
  <c r="F52" i="59"/>
  <c r="G51" i="59"/>
  <c r="F51" i="59"/>
  <c r="G50" i="59"/>
  <c r="F50" i="59"/>
  <c r="G49" i="59"/>
  <c r="F49" i="59"/>
  <c r="G48" i="59"/>
  <c r="F48" i="59"/>
  <c r="G47" i="59"/>
  <c r="F47" i="59"/>
  <c r="G46" i="59"/>
  <c r="F46" i="59"/>
  <c r="G45" i="59"/>
  <c r="F45" i="59"/>
  <c r="G44" i="59"/>
  <c r="F44" i="59"/>
  <c r="G43" i="59"/>
  <c r="F43" i="59"/>
  <c r="G42" i="59"/>
  <c r="F42" i="59"/>
  <c r="G41" i="59"/>
  <c r="F41" i="59"/>
  <c r="G40" i="59"/>
  <c r="F40" i="59"/>
  <c r="G39" i="59"/>
  <c r="F39" i="59"/>
  <c r="G38" i="59"/>
  <c r="F38" i="59"/>
  <c r="G37" i="59"/>
  <c r="F37" i="59"/>
  <c r="G36" i="59"/>
  <c r="F36" i="59"/>
  <c r="G35" i="59"/>
  <c r="F35" i="59"/>
  <c r="G34" i="59"/>
  <c r="F34" i="59"/>
  <c r="G33" i="59"/>
  <c r="F33" i="59"/>
  <c r="G32" i="59"/>
  <c r="F32" i="59"/>
  <c r="G31" i="59"/>
  <c r="F31" i="59"/>
  <c r="G30" i="59"/>
  <c r="F30" i="59"/>
  <c r="G29" i="59"/>
  <c r="F29" i="59"/>
  <c r="G28" i="59"/>
  <c r="F28" i="59"/>
  <c r="G27" i="59"/>
  <c r="F27" i="59"/>
  <c r="G26" i="59"/>
  <c r="F26" i="59"/>
  <c r="G25" i="59"/>
  <c r="F25" i="59"/>
  <c r="G24" i="59"/>
  <c r="F24" i="59"/>
  <c r="G23" i="59"/>
  <c r="F23" i="59"/>
  <c r="G22" i="59"/>
  <c r="F22" i="59"/>
  <c r="G21" i="59"/>
  <c r="F21" i="59"/>
  <c r="G20" i="59"/>
  <c r="F20" i="59"/>
  <c r="G19" i="59"/>
  <c r="F19" i="59"/>
  <c r="G18" i="59"/>
  <c r="F18" i="59"/>
  <c r="G17" i="59"/>
  <c r="F17" i="59"/>
  <c r="G16" i="59"/>
  <c r="F16" i="59"/>
  <c r="G15" i="59"/>
  <c r="F15" i="59"/>
  <c r="G14" i="59"/>
  <c r="F14" i="59"/>
  <c r="G13" i="59"/>
  <c r="F13" i="59"/>
  <c r="G12" i="59"/>
  <c r="F12" i="59"/>
  <c r="G11" i="59"/>
  <c r="F11" i="59"/>
  <c r="G10" i="59"/>
  <c r="F10" i="59"/>
  <c r="G9" i="59"/>
  <c r="F9" i="59"/>
  <c r="G8" i="59"/>
  <c r="F8" i="59"/>
  <c r="G7" i="59"/>
  <c r="F7" i="59"/>
  <c r="G6" i="59"/>
  <c r="F6" i="59"/>
  <c r="G5" i="59"/>
  <c r="F5" i="59"/>
  <c r="G4" i="59"/>
  <c r="F4" i="59"/>
  <c r="G3" i="59"/>
  <c r="F3" i="59"/>
  <c r="D5" i="16"/>
  <c r="B7" i="42" l="1"/>
  <c r="B8" i="42"/>
  <c r="B9" i="42"/>
  <c r="B10" i="42"/>
  <c r="B11" i="42"/>
  <c r="B12" i="42"/>
  <c r="B13" i="42"/>
  <c r="B14" i="42"/>
  <c r="B15" i="42"/>
  <c r="B16" i="42"/>
  <c r="B17" i="42"/>
  <c r="B6" i="42"/>
  <c r="B7" i="50"/>
  <c r="B8" i="50"/>
  <c r="B9" i="50"/>
  <c r="B10" i="50"/>
  <c r="B11" i="50"/>
  <c r="B12" i="50"/>
  <c r="B13" i="50"/>
  <c r="B14" i="50"/>
  <c r="B15" i="50"/>
  <c r="B16" i="50"/>
  <c r="B17" i="50"/>
  <c r="B6" i="50"/>
  <c r="D10" i="51"/>
  <c r="D9" i="51"/>
  <c r="D8" i="51"/>
  <c r="D7" i="51"/>
  <c r="D6" i="51"/>
  <c r="C10" i="51"/>
  <c r="C9" i="51"/>
  <c r="C8" i="51"/>
  <c r="C7" i="51"/>
  <c r="C6" i="51"/>
  <c r="C5" i="51"/>
  <c r="D5" i="51"/>
  <c r="B10" i="51"/>
  <c r="B9" i="51"/>
  <c r="B8" i="51"/>
  <c r="B7" i="51"/>
  <c r="B6" i="51"/>
  <c r="B5" i="51"/>
  <c r="R83" i="1"/>
  <c r="AC113" i="1"/>
  <c r="AR39" i="1"/>
  <c r="AR40" i="1"/>
  <c r="R50" i="1"/>
  <c r="C12" i="49"/>
  <c r="D12" i="49"/>
  <c r="E12" i="49"/>
  <c r="C11" i="49"/>
  <c r="D11" i="49"/>
  <c r="E11" i="49"/>
  <c r="C10" i="49"/>
  <c r="D10" i="49"/>
  <c r="E10" i="49"/>
  <c r="C9" i="49"/>
  <c r="D9" i="49"/>
  <c r="E9" i="49"/>
  <c r="B9" i="49"/>
  <c r="B10" i="49"/>
  <c r="B11" i="49"/>
  <c r="B12" i="49"/>
  <c r="C8" i="49"/>
  <c r="D8" i="49"/>
  <c r="E8" i="49"/>
  <c r="B8" i="49"/>
  <c r="C7" i="49"/>
  <c r="D7" i="49"/>
  <c r="E7" i="49"/>
  <c r="B7" i="49"/>
  <c r="R39" i="1"/>
  <c r="R3" i="1"/>
  <c r="C8" i="46"/>
  <c r="D8" i="46"/>
  <c r="E8" i="46"/>
  <c r="C9" i="46"/>
  <c r="D9" i="46"/>
  <c r="E9" i="46"/>
  <c r="C10" i="46"/>
  <c r="D10" i="46"/>
  <c r="E10" i="46"/>
  <c r="C11" i="46"/>
  <c r="D11" i="46"/>
  <c r="E11" i="46"/>
  <c r="B11" i="46"/>
  <c r="B10" i="46"/>
  <c r="B9" i="46"/>
  <c r="B8" i="46"/>
  <c r="C7" i="46"/>
  <c r="D7" i="46"/>
  <c r="B7" i="46"/>
  <c r="B5" i="44"/>
  <c r="B11" i="44"/>
  <c r="C11" i="44"/>
  <c r="D11" i="44"/>
  <c r="E11" i="44"/>
  <c r="C10" i="44"/>
  <c r="D10" i="44"/>
  <c r="E10" i="44"/>
  <c r="B10" i="44"/>
  <c r="B9" i="44"/>
  <c r="C9" i="44"/>
  <c r="D9" i="44"/>
  <c r="E9" i="44"/>
  <c r="C8" i="44"/>
  <c r="D8" i="44"/>
  <c r="E8" i="44"/>
  <c r="B8" i="44"/>
  <c r="C7" i="44"/>
  <c r="D7" i="44"/>
  <c r="E7" i="44"/>
  <c r="B7" i="44"/>
  <c r="B6" i="44"/>
  <c r="C6" i="44"/>
  <c r="D6" i="44"/>
  <c r="E6" i="44"/>
  <c r="C5" i="44"/>
  <c r="D5" i="44"/>
  <c r="E5" i="44"/>
  <c r="Q39" i="1"/>
  <c r="Q41" i="1"/>
  <c r="C12" i="40"/>
  <c r="D12" i="40"/>
  <c r="E12" i="40"/>
  <c r="B12" i="40"/>
  <c r="C11" i="40"/>
  <c r="D11" i="40"/>
  <c r="E11" i="40"/>
  <c r="B11" i="40"/>
  <c r="C10" i="40"/>
  <c r="D10" i="40"/>
  <c r="E10" i="40"/>
  <c r="D9" i="40"/>
  <c r="E9" i="40"/>
  <c r="D8" i="40"/>
  <c r="E8" i="40"/>
  <c r="D7" i="40"/>
  <c r="E7" i="40"/>
  <c r="B10" i="40"/>
  <c r="C9" i="40"/>
  <c r="B9" i="40"/>
  <c r="C8" i="40"/>
  <c r="B8" i="40"/>
  <c r="C7" i="40"/>
  <c r="B7" i="40"/>
  <c r="Y50" i="1"/>
  <c r="Z50" i="1" s="1"/>
  <c r="C6" i="46" s="1"/>
  <c r="T86" i="1"/>
  <c r="S50" i="1"/>
  <c r="N39" i="1"/>
  <c r="N40" i="1"/>
  <c r="C6" i="18"/>
  <c r="C8" i="30"/>
  <c r="B6" i="46" l="1"/>
  <c r="V28" i="35"/>
  <c r="V2" i="35"/>
  <c r="V3" i="35" s="1"/>
  <c r="V4" i="35" s="1"/>
  <c r="V5" i="35" s="1"/>
  <c r="V6" i="35" s="1"/>
  <c r="V7" i="35" s="1"/>
  <c r="V8" i="35" s="1"/>
  <c r="V9" i="35" s="1"/>
  <c r="V10" i="35" s="1"/>
  <c r="V11" i="35" s="1"/>
  <c r="V12" i="35" s="1"/>
  <c r="V13" i="35" s="1"/>
  <c r="V14" i="35" s="1"/>
  <c r="V15" i="35" s="1"/>
  <c r="V16" i="35" s="1"/>
  <c r="V17" i="35" s="1"/>
  <c r="V18" i="35" s="1"/>
  <c r="V19" i="35" s="1"/>
  <c r="V20" i="35" s="1"/>
  <c r="V21" i="35" s="1"/>
  <c r="V22" i="35" s="1"/>
  <c r="C13" i="34"/>
  <c r="C12" i="34"/>
  <c r="C9" i="34"/>
  <c r="C8" i="34"/>
  <c r="C5" i="34"/>
  <c r="A15" i="34"/>
  <c r="A16" i="34" s="1"/>
  <c r="A17" i="34" s="1"/>
  <c r="A18" i="34" s="1"/>
  <c r="A19" i="34" s="1"/>
  <c r="A20" i="34" s="1"/>
  <c r="A21" i="34" s="1"/>
  <c r="A22" i="34" s="1"/>
  <c r="A23" i="34" s="1"/>
  <c r="A24" i="34" s="1"/>
  <c r="A25" i="34" s="1"/>
  <c r="A26" i="34" s="1"/>
  <c r="A27" i="34" s="1"/>
  <c r="A28" i="34" s="1"/>
  <c r="A29" i="34" s="1"/>
  <c r="A30" i="34" s="1"/>
  <c r="A31" i="34" s="1"/>
  <c r="A32" i="34" s="1"/>
  <c r="A33" i="34" s="1"/>
  <c r="A34" i="34" s="1"/>
  <c r="A35" i="34" s="1"/>
  <c r="A36" i="34" s="1"/>
  <c r="A37" i="34" s="1"/>
  <c r="A38" i="34" s="1"/>
  <c r="A39" i="34" s="1"/>
  <c r="A40" i="34" s="1"/>
  <c r="A41" i="34" s="1"/>
  <c r="A42" i="34" s="1"/>
  <c r="A43" i="34" s="1"/>
  <c r="A44" i="34" s="1"/>
  <c r="A6" i="33"/>
  <c r="A7" i="33" s="1"/>
  <c r="A8" i="33" s="1"/>
  <c r="A9" i="33" s="1"/>
  <c r="A10" i="33" s="1"/>
  <c r="A11" i="33" s="1"/>
  <c r="A12" i="33" s="1"/>
  <c r="A13" i="33" s="1"/>
  <c r="A14" i="33" s="1"/>
  <c r="A15" i="33" s="1"/>
  <c r="A16" i="33" s="1"/>
  <c r="A17" i="33" s="1"/>
  <c r="A18" i="33" s="1"/>
  <c r="A19" i="33" s="1"/>
  <c r="A20" i="33" s="1"/>
  <c r="A21" i="33" s="1"/>
  <c r="A22" i="33" s="1"/>
  <c r="A23" i="33" s="1"/>
  <c r="A24" i="33" s="1"/>
  <c r="A25" i="33" s="1"/>
  <c r="A26" i="33" s="1"/>
  <c r="A27" i="33" s="1"/>
  <c r="A28" i="33" s="1"/>
  <c r="A29" i="33" s="1"/>
  <c r="A30" i="33" s="1"/>
  <c r="A31" i="33" s="1"/>
  <c r="A32" i="33" s="1"/>
  <c r="A33" i="33" s="1"/>
  <c r="A34" i="33" s="1"/>
  <c r="A35" i="33" s="1"/>
  <c r="C14" i="13"/>
  <c r="C15" i="13" s="1"/>
  <c r="C16" i="13" s="1"/>
  <c r="C17" i="13" s="1"/>
  <c r="C18" i="13" s="1"/>
  <c r="C19" i="13" s="1"/>
  <c r="C20" i="13" s="1"/>
  <c r="C21" i="13" s="1"/>
  <c r="C22" i="13" s="1"/>
  <c r="E11" i="13"/>
  <c r="E12" i="13" s="1"/>
  <c r="E13" i="13" s="1"/>
  <c r="E14" i="13" s="1"/>
  <c r="E15" i="13" s="1"/>
  <c r="E16" i="13" s="1"/>
  <c r="E17" i="13" s="1"/>
  <c r="E18" i="13" s="1"/>
  <c r="E10" i="13"/>
  <c r="D12" i="13"/>
  <c r="D13" i="13" s="1"/>
  <c r="D14" i="13" s="1"/>
  <c r="D15" i="13" s="1"/>
  <c r="D16" i="13" s="1"/>
  <c r="D17" i="13" s="1"/>
  <c r="D18" i="13" s="1"/>
  <c r="D19" i="13" s="1"/>
  <c r="D20" i="13" s="1"/>
  <c r="E19" i="13"/>
  <c r="E33" i="13"/>
  <c r="D33" i="13" s="1"/>
  <c r="E29" i="13"/>
  <c r="D29" i="13" s="1"/>
  <c r="E25" i="13"/>
  <c r="D25" i="13" s="1"/>
  <c r="E21" i="13"/>
  <c r="D21" i="13" s="1"/>
  <c r="B14" i="32"/>
  <c r="C14" i="32" s="1"/>
  <c r="B13" i="32"/>
  <c r="B12" i="32"/>
  <c r="C12" i="32" s="1"/>
  <c r="B11" i="32"/>
  <c r="E11" i="32" s="1"/>
  <c r="D22" i="31" s="1"/>
  <c r="B10" i="32"/>
  <c r="C10" i="32" s="1"/>
  <c r="B9" i="32"/>
  <c r="D9" i="32" s="1"/>
  <c r="B8" i="32"/>
  <c r="C7" i="34" s="1"/>
  <c r="B7" i="32"/>
  <c r="C7" i="32" s="1"/>
  <c r="B6" i="32"/>
  <c r="C55" i="31"/>
  <c r="C51" i="31"/>
  <c r="C47" i="31"/>
  <c r="C43" i="31"/>
  <c r="C39" i="31"/>
  <c r="C35" i="31"/>
  <c r="C31" i="31"/>
  <c r="C27" i="31"/>
  <c r="C23" i="31"/>
  <c r="C19" i="31"/>
  <c r="C15" i="31"/>
  <c r="C11" i="31"/>
  <c r="C7" i="31"/>
  <c r="B25" i="31"/>
  <c r="B24" i="31"/>
  <c r="B23" i="31"/>
  <c r="B22" i="31"/>
  <c r="B21" i="31"/>
  <c r="B20" i="31"/>
  <c r="B19" i="31"/>
  <c r="B18" i="31"/>
  <c r="B17" i="31"/>
  <c r="B16" i="31"/>
  <c r="B15" i="31"/>
  <c r="B14" i="31"/>
  <c r="B13" i="31"/>
  <c r="B12" i="31"/>
  <c r="B11" i="31"/>
  <c r="B10" i="31"/>
  <c r="B9" i="31"/>
  <c r="B8" i="31"/>
  <c r="B7" i="31"/>
  <c r="B5" i="31"/>
  <c r="B6" i="31"/>
  <c r="C28" i="30"/>
  <c r="C28" i="31" s="1"/>
  <c r="C29" i="30"/>
  <c r="C29" i="31" s="1"/>
  <c r="C30" i="30"/>
  <c r="C30" i="31" s="1"/>
  <c r="C31" i="30"/>
  <c r="C32" i="30"/>
  <c r="C32" i="31" s="1"/>
  <c r="C33" i="30"/>
  <c r="C33" i="31" s="1"/>
  <c r="C34" i="30"/>
  <c r="C34" i="31" s="1"/>
  <c r="C35" i="30"/>
  <c r="C36" i="30"/>
  <c r="C36" i="31" s="1"/>
  <c r="C37" i="30"/>
  <c r="C37" i="31" s="1"/>
  <c r="C38" i="30"/>
  <c r="C38" i="31" s="1"/>
  <c r="C39" i="30"/>
  <c r="C40" i="30"/>
  <c r="C40" i="31" s="1"/>
  <c r="C41" i="30"/>
  <c r="C41" i="31" s="1"/>
  <c r="C42" i="30"/>
  <c r="C42" i="31" s="1"/>
  <c r="C43" i="30"/>
  <c r="E22" i="13" s="1"/>
  <c r="D22" i="13" s="1"/>
  <c r="C44" i="30"/>
  <c r="E23" i="13" s="1"/>
  <c r="C45" i="30"/>
  <c r="C45" i="31" s="1"/>
  <c r="C46" i="30"/>
  <c r="C46" i="31" s="1"/>
  <c r="C47" i="30"/>
  <c r="E26" i="13" s="1"/>
  <c r="C48" i="30"/>
  <c r="E27" i="13" s="1"/>
  <c r="C49" i="30"/>
  <c r="C49" i="31" s="1"/>
  <c r="C50" i="30"/>
  <c r="C50" i="31" s="1"/>
  <c r="C51" i="30"/>
  <c r="E30" i="13" s="1"/>
  <c r="C52" i="30"/>
  <c r="E31" i="13" s="1"/>
  <c r="C53" i="30"/>
  <c r="E32" i="13" s="1"/>
  <c r="C54" i="30"/>
  <c r="C54" i="31" s="1"/>
  <c r="C55" i="30"/>
  <c r="E34" i="13" s="1"/>
  <c r="C56" i="30"/>
  <c r="E35" i="13" s="1"/>
  <c r="C57" i="30"/>
  <c r="C58" i="30"/>
  <c r="C59" i="30"/>
  <c r="C60" i="30"/>
  <c r="C61" i="30"/>
  <c r="C62" i="30"/>
  <c r="C63" i="30"/>
  <c r="C64" i="30"/>
  <c r="C65" i="30"/>
  <c r="C27" i="30"/>
  <c r="C26" i="30"/>
  <c r="C26" i="31" s="1"/>
  <c r="C25" i="30"/>
  <c r="C25" i="31" s="1"/>
  <c r="C24" i="30"/>
  <c r="C24" i="31" s="1"/>
  <c r="C23" i="30"/>
  <c r="C22" i="30"/>
  <c r="C22" i="31" s="1"/>
  <c r="C21" i="30"/>
  <c r="C21" i="31" s="1"/>
  <c r="C20" i="30"/>
  <c r="C20" i="31" s="1"/>
  <c r="C19" i="30"/>
  <c r="C18" i="30"/>
  <c r="C18" i="31" s="1"/>
  <c r="C17" i="30"/>
  <c r="C17" i="31" s="1"/>
  <c r="C16" i="30"/>
  <c r="C16" i="31" s="1"/>
  <c r="C15" i="30"/>
  <c r="C14" i="30"/>
  <c r="C14" i="31" s="1"/>
  <c r="C13" i="30"/>
  <c r="C13" i="31" s="1"/>
  <c r="C12" i="30"/>
  <c r="C12" i="31" s="1"/>
  <c r="C11" i="30"/>
  <c r="C10" i="30"/>
  <c r="C10" i="31" s="1"/>
  <c r="C9" i="30"/>
  <c r="C9" i="31" s="1"/>
  <c r="C8" i="31"/>
  <c r="C6" i="30"/>
  <c r="C6" i="31" s="1"/>
  <c r="B27" i="28"/>
  <c r="B26" i="28"/>
  <c r="A6" i="28"/>
  <c r="A7" i="28" s="1"/>
  <c r="A8" i="28" s="1"/>
  <c r="A9" i="28" s="1"/>
  <c r="A10" i="28" s="1"/>
  <c r="A11" i="28" s="1"/>
  <c r="A12" i="28" s="1"/>
  <c r="A13" i="28" s="1"/>
  <c r="A14" i="28" s="1"/>
  <c r="A15" i="28" s="1"/>
  <c r="A16" i="28" s="1"/>
  <c r="A17" i="28" s="1"/>
  <c r="A18" i="28" s="1"/>
  <c r="A19" i="28" s="1"/>
  <c r="A20" i="28" s="1"/>
  <c r="A21" i="28" s="1"/>
  <c r="A22" i="28" s="1"/>
  <c r="A23" i="28" s="1"/>
  <c r="A24" i="28" s="1"/>
  <c r="A25" i="28" s="1"/>
  <c r="E13" i="34" l="1"/>
  <c r="C30" i="13"/>
  <c r="D30" i="13"/>
  <c r="C32" i="13"/>
  <c r="D32" i="13"/>
  <c r="D34" i="13"/>
  <c r="C34" i="13"/>
  <c r="D26" i="13"/>
  <c r="C26" i="13"/>
  <c r="C35" i="13"/>
  <c r="D35" i="13"/>
  <c r="C31" i="13"/>
  <c r="D31" i="13"/>
  <c r="C27" i="13"/>
  <c r="D27" i="13"/>
  <c r="C23" i="13"/>
  <c r="D23" i="13"/>
  <c r="E20" i="13"/>
  <c r="E24" i="13"/>
  <c r="E28" i="13"/>
  <c r="C44" i="31"/>
  <c r="C48" i="31"/>
  <c r="C52" i="31"/>
  <c r="C56" i="31"/>
  <c r="C25" i="13"/>
  <c r="C29" i="13"/>
  <c r="C33" i="13"/>
  <c r="C53" i="31"/>
  <c r="E8" i="32"/>
  <c r="D19" i="31" s="1"/>
  <c r="E12" i="32"/>
  <c r="D23" i="31" s="1"/>
  <c r="D8" i="32"/>
  <c r="E9" i="32"/>
  <c r="D20" i="31" s="1"/>
  <c r="E13" i="32"/>
  <c r="D24" i="31" s="1"/>
  <c r="E10" i="32"/>
  <c r="D21" i="31" s="1"/>
  <c r="E14" i="32"/>
  <c r="D25" i="31" s="1"/>
  <c r="C6" i="34"/>
  <c r="C10" i="34"/>
  <c r="D11" i="32"/>
  <c r="C11" i="34"/>
  <c r="D7" i="32"/>
  <c r="E7" i="32"/>
  <c r="D18" i="31" s="1"/>
  <c r="C8" i="32"/>
  <c r="C6" i="32"/>
  <c r="D6" i="32"/>
  <c r="D12" i="32"/>
  <c r="D14" i="32"/>
  <c r="D10" i="32"/>
  <c r="C11" i="32"/>
  <c r="C13" i="32"/>
  <c r="C9" i="32"/>
  <c r="D13" i="32"/>
  <c r="A6" i="27"/>
  <c r="A7" i="27" s="1"/>
  <c r="A8" i="27" s="1"/>
  <c r="A9" i="27" s="1"/>
  <c r="A10" i="27" s="1"/>
  <c r="A11" i="27" s="1"/>
  <c r="A12" i="27" s="1"/>
  <c r="A13" i="27" s="1"/>
  <c r="A14" i="27" s="1"/>
  <c r="A15" i="27" s="1"/>
  <c r="A16" i="27" s="1"/>
  <c r="A17" i="27" s="1"/>
  <c r="A18" i="27" s="1"/>
  <c r="A19" i="27" s="1"/>
  <c r="A20" i="27" s="1"/>
  <c r="A21" i="27" s="1"/>
  <c r="A22" i="27" s="1"/>
  <c r="A23" i="27" s="1"/>
  <c r="A24" i="27" s="1"/>
  <c r="A25" i="27" s="1"/>
  <c r="A26" i="27" s="1"/>
  <c r="A27" i="27" s="1"/>
  <c r="A28" i="27" s="1"/>
  <c r="A29" i="27" s="1"/>
  <c r="A30" i="27" s="1"/>
  <c r="A31" i="27" s="1"/>
  <c r="A32" i="27" s="1"/>
  <c r="A33" i="27" s="1"/>
  <c r="A34" i="27" s="1"/>
  <c r="A35" i="27" s="1"/>
  <c r="A6" i="26"/>
  <c r="A7" i="26" s="1"/>
  <c r="A8" i="26" s="1"/>
  <c r="A9" i="26" s="1"/>
  <c r="A10" i="26" s="1"/>
  <c r="A11" i="26" s="1"/>
  <c r="A12" i="26" s="1"/>
  <c r="A13" i="26" s="1"/>
  <c r="A14" i="26" s="1"/>
  <c r="A15" i="26" s="1"/>
  <c r="A16" i="26" s="1"/>
  <c r="A17" i="26" s="1"/>
  <c r="A18" i="26" s="1"/>
  <c r="A19" i="26" s="1"/>
  <c r="A20" i="26" s="1"/>
  <c r="A21" i="26" s="1"/>
  <c r="A22" i="26" s="1"/>
  <c r="A23" i="26" s="1"/>
  <c r="A24" i="26" s="1"/>
  <c r="A25" i="26" s="1"/>
  <c r="A26" i="26" s="1"/>
  <c r="A27" i="26" s="1"/>
  <c r="A28" i="26" s="1"/>
  <c r="A29" i="26" s="1"/>
  <c r="A30" i="26" s="1"/>
  <c r="A31" i="26" s="1"/>
  <c r="A32" i="26" s="1"/>
  <c r="A33" i="26" s="1"/>
  <c r="A34" i="26" s="1"/>
  <c r="A35" i="26" s="1"/>
  <c r="C5" i="25"/>
  <c r="C6" i="25" s="1"/>
  <c r="C7" i="25" s="1"/>
  <c r="C8" i="25" s="1"/>
  <c r="C9" i="25" s="1"/>
  <c r="C10" i="25" s="1"/>
  <c r="C11" i="25" s="1"/>
  <c r="C12" i="25" s="1"/>
  <c r="C13" i="25" s="1"/>
  <c r="C14" i="25" s="1"/>
  <c r="C15" i="25" s="1"/>
  <c r="C16" i="25" s="1"/>
  <c r="C17" i="25" s="1"/>
  <c r="C18" i="25" s="1"/>
  <c r="C19" i="25" s="1"/>
  <c r="C20" i="25" s="1"/>
  <c r="C21" i="25" s="1"/>
  <c r="C22" i="25" s="1"/>
  <c r="C23" i="25" s="1"/>
  <c r="A6" i="25"/>
  <c r="A7" i="25" s="1"/>
  <c r="A8" i="25" s="1"/>
  <c r="A9" i="25" s="1"/>
  <c r="A10" i="25" s="1"/>
  <c r="A11" i="25" s="1"/>
  <c r="A12" i="25" s="1"/>
  <c r="A13" i="25" s="1"/>
  <c r="A14" i="25" s="1"/>
  <c r="A15" i="25" s="1"/>
  <c r="A16" i="25" s="1"/>
  <c r="A17" i="25" s="1"/>
  <c r="A18" i="25" s="1"/>
  <c r="A19" i="25" s="1"/>
  <c r="A20" i="25" s="1"/>
  <c r="A21" i="25" s="1"/>
  <c r="A22" i="25" s="1"/>
  <c r="A23" i="25" s="1"/>
  <c r="A24" i="25" s="1"/>
  <c r="A25" i="25" s="1"/>
  <c r="A26" i="25" s="1"/>
  <c r="A27" i="25" s="1"/>
  <c r="A28" i="25" s="1"/>
  <c r="A29" i="25" s="1"/>
  <c r="A30" i="25" s="1"/>
  <c r="A31" i="25" s="1"/>
  <c r="A32" i="25" s="1"/>
  <c r="A33" i="25" s="1"/>
  <c r="A34" i="25" s="1"/>
  <c r="A35" i="25" s="1"/>
  <c r="A6" i="24"/>
  <c r="A7" i="24" s="1"/>
  <c r="A8" i="24" s="1"/>
  <c r="A9" i="24" s="1"/>
  <c r="A10" i="24" s="1"/>
  <c r="A11" i="24" s="1"/>
  <c r="A12" i="24" s="1"/>
  <c r="A13" i="24" s="1"/>
  <c r="A14" i="24" s="1"/>
  <c r="A15" i="24" s="1"/>
  <c r="A16" i="24" s="1"/>
  <c r="A17" i="24" s="1"/>
  <c r="A18" i="24" s="1"/>
  <c r="A19" i="24" s="1"/>
  <c r="A20" i="24" s="1"/>
  <c r="A21" i="24" s="1"/>
  <c r="A22" i="24" s="1"/>
  <c r="A23" i="24" s="1"/>
  <c r="A24" i="24" s="1"/>
  <c r="A25" i="24" s="1"/>
  <c r="A26" i="24" s="1"/>
  <c r="A27" i="24" s="1"/>
  <c r="A28" i="24" s="1"/>
  <c r="A29" i="24" s="1"/>
  <c r="A30" i="24" s="1"/>
  <c r="A31" i="24" s="1"/>
  <c r="A32" i="24" s="1"/>
  <c r="A33" i="24" s="1"/>
  <c r="A34" i="24" s="1"/>
  <c r="A35" i="24" s="1"/>
  <c r="A6" i="23"/>
  <c r="A7" i="23" s="1"/>
  <c r="A8" i="23" s="1"/>
  <c r="A9" i="23" s="1"/>
  <c r="A10" i="23" s="1"/>
  <c r="A11" i="23" s="1"/>
  <c r="A12" i="23" s="1"/>
  <c r="A13" i="23" s="1"/>
  <c r="A14" i="23" s="1"/>
  <c r="A15" i="23" s="1"/>
  <c r="A16" i="23" s="1"/>
  <c r="A17" i="23" s="1"/>
  <c r="A18" i="23" s="1"/>
  <c r="A19" i="23" s="1"/>
  <c r="A20" i="23" s="1"/>
  <c r="A21" i="23" s="1"/>
  <c r="A22" i="23" s="1"/>
  <c r="A23" i="23" s="1"/>
  <c r="A24" i="23" s="1"/>
  <c r="A25" i="23" s="1"/>
  <c r="A26" i="23" s="1"/>
  <c r="A27" i="23" s="1"/>
  <c r="A28" i="23" s="1"/>
  <c r="A29" i="23" s="1"/>
  <c r="A30" i="23" s="1"/>
  <c r="A31" i="23" s="1"/>
  <c r="A32" i="23" s="1"/>
  <c r="A33" i="23" s="1"/>
  <c r="A34" i="23" s="1"/>
  <c r="A35" i="23" s="1"/>
  <c r="A6" i="22"/>
  <c r="A7" i="22" s="1"/>
  <c r="A8" i="22" s="1"/>
  <c r="A9" i="22" s="1"/>
  <c r="A10" i="22" s="1"/>
  <c r="A11" i="22" s="1"/>
  <c r="A12" i="22" s="1"/>
  <c r="A13" i="22" s="1"/>
  <c r="A14" i="22" s="1"/>
  <c r="A15" i="22" s="1"/>
  <c r="A16" i="22" s="1"/>
  <c r="A17" i="22" s="1"/>
  <c r="A18" i="22" s="1"/>
  <c r="A19" i="22" s="1"/>
  <c r="A20" i="22" s="1"/>
  <c r="A21" i="22" s="1"/>
  <c r="A22" i="22" s="1"/>
  <c r="A23" i="22" s="1"/>
  <c r="A24" i="22" s="1"/>
  <c r="A25" i="22" s="1"/>
  <c r="A26" i="22" s="1"/>
  <c r="A27" i="22" s="1"/>
  <c r="A28" i="22" s="1"/>
  <c r="A29" i="22" s="1"/>
  <c r="A30" i="22" s="1"/>
  <c r="A31" i="22" s="1"/>
  <c r="A32" i="22" s="1"/>
  <c r="A33" i="22" s="1"/>
  <c r="A34" i="22" s="1"/>
  <c r="A35" i="22" s="1"/>
  <c r="A6" i="21"/>
  <c r="A7" i="21" s="1"/>
  <c r="A8" i="21" s="1"/>
  <c r="A9" i="21" s="1"/>
  <c r="A10" i="21" s="1"/>
  <c r="A11" i="21" s="1"/>
  <c r="A12" i="21" s="1"/>
  <c r="A13" i="21" s="1"/>
  <c r="A14" i="21" s="1"/>
  <c r="A15" i="21" s="1"/>
  <c r="A16" i="21" s="1"/>
  <c r="A17" i="21" s="1"/>
  <c r="A18" i="21" s="1"/>
  <c r="A19" i="21" s="1"/>
  <c r="A20" i="21" s="1"/>
  <c r="A21" i="21" s="1"/>
  <c r="A22" i="21" s="1"/>
  <c r="A23" i="21" s="1"/>
  <c r="A24" i="21" s="1"/>
  <c r="A25" i="21" s="1"/>
  <c r="A26" i="21" s="1"/>
  <c r="A27" i="21" s="1"/>
  <c r="A28" i="21" s="1"/>
  <c r="A29" i="21" s="1"/>
  <c r="A30" i="21" s="1"/>
  <c r="A31" i="21" s="1"/>
  <c r="A32" i="21" s="1"/>
  <c r="A33" i="21" s="1"/>
  <c r="A34" i="21" s="1"/>
  <c r="A35" i="21" s="1"/>
  <c r="A6" i="20"/>
  <c r="A7" i="20" s="1"/>
  <c r="A8" i="20" s="1"/>
  <c r="A9" i="20" s="1"/>
  <c r="A10" i="20" s="1"/>
  <c r="A11" i="20" s="1"/>
  <c r="A12" i="20" s="1"/>
  <c r="A13" i="20" s="1"/>
  <c r="A14" i="20" s="1"/>
  <c r="A15" i="20" s="1"/>
  <c r="A16" i="20" s="1"/>
  <c r="A17" i="20" s="1"/>
  <c r="A18" i="20" s="1"/>
  <c r="A19" i="20" s="1"/>
  <c r="A20" i="20" s="1"/>
  <c r="A21" i="20" s="1"/>
  <c r="A22" i="20" s="1"/>
  <c r="A23" i="20" s="1"/>
  <c r="A24" i="20" s="1"/>
  <c r="A25" i="20" s="1"/>
  <c r="A26" i="20" s="1"/>
  <c r="A27" i="20" s="1"/>
  <c r="A28" i="20" s="1"/>
  <c r="A29" i="20" s="1"/>
  <c r="A30" i="20" s="1"/>
  <c r="A31" i="20" s="1"/>
  <c r="A32" i="20" s="1"/>
  <c r="A33" i="20" s="1"/>
  <c r="A34" i="20" s="1"/>
  <c r="A35" i="20" s="1"/>
  <c r="A6" i="19"/>
  <c r="A7" i="19" s="1"/>
  <c r="A8" i="19" s="1"/>
  <c r="A9" i="19" s="1"/>
  <c r="A10" i="19" s="1"/>
  <c r="A11" i="19" s="1"/>
  <c r="A12" i="19" s="1"/>
  <c r="A13" i="19" s="1"/>
  <c r="A14" i="19" s="1"/>
  <c r="A15" i="19" s="1"/>
  <c r="A16" i="19" s="1"/>
  <c r="A17" i="19" s="1"/>
  <c r="A18" i="19" s="1"/>
  <c r="A19" i="19" s="1"/>
  <c r="A20" i="19" s="1"/>
  <c r="A21" i="19" s="1"/>
  <c r="A22" i="19" s="1"/>
  <c r="A23" i="19" s="1"/>
  <c r="A24" i="19" s="1"/>
  <c r="A25" i="19" s="1"/>
  <c r="A26" i="19" s="1"/>
  <c r="A27" i="19" s="1"/>
  <c r="A28" i="19" s="1"/>
  <c r="A29" i="19" s="1"/>
  <c r="A30" i="19" s="1"/>
  <c r="A31" i="19" s="1"/>
  <c r="A32" i="19" s="1"/>
  <c r="A33" i="19" s="1"/>
  <c r="A34" i="19" s="1"/>
  <c r="A35" i="19" s="1"/>
  <c r="A6" i="18"/>
  <c r="A7" i="18" s="1"/>
  <c r="A8" i="18" s="1"/>
  <c r="A9" i="18" s="1"/>
  <c r="A10" i="18" s="1"/>
  <c r="A11" i="18" s="1"/>
  <c r="A12" i="18" s="1"/>
  <c r="A13" i="18" s="1"/>
  <c r="A14" i="18" s="1"/>
  <c r="A15" i="18" s="1"/>
  <c r="A16" i="18" s="1"/>
  <c r="A17" i="18" s="1"/>
  <c r="A18" i="18" s="1"/>
  <c r="A19" i="18" s="1"/>
  <c r="A20" i="18" s="1"/>
  <c r="A21" i="18" s="1"/>
  <c r="A22" i="18" s="1"/>
  <c r="A23" i="18" s="1"/>
  <c r="A24" i="18" s="1"/>
  <c r="A25" i="18" s="1"/>
  <c r="A26" i="18" s="1"/>
  <c r="A27" i="18" s="1"/>
  <c r="A28" i="18" s="1"/>
  <c r="A29" i="18" s="1"/>
  <c r="A30" i="18" s="1"/>
  <c r="A31" i="18" s="1"/>
  <c r="A32" i="18" s="1"/>
  <c r="A33" i="18" s="1"/>
  <c r="A34" i="18" s="1"/>
  <c r="A35" i="18" s="1"/>
  <c r="A6" i="17"/>
  <c r="A7" i="17" s="1"/>
  <c r="A8" i="17" s="1"/>
  <c r="A9" i="17" s="1"/>
  <c r="A10" i="17" s="1"/>
  <c r="A11" i="17" s="1"/>
  <c r="A12" i="17" s="1"/>
  <c r="A13" i="17" s="1"/>
  <c r="A14" i="17" s="1"/>
  <c r="A15" i="17" s="1"/>
  <c r="A16" i="17" s="1"/>
  <c r="A17" i="17" s="1"/>
  <c r="A18" i="17" s="1"/>
  <c r="A19" i="17" s="1"/>
  <c r="A20" i="17" s="1"/>
  <c r="A21" i="17" s="1"/>
  <c r="A22" i="17" s="1"/>
  <c r="A23" i="17" s="1"/>
  <c r="A24" i="17" s="1"/>
  <c r="A25" i="17" s="1"/>
  <c r="A26" i="17" s="1"/>
  <c r="A27" i="17" s="1"/>
  <c r="A28" i="17" s="1"/>
  <c r="A29" i="17" s="1"/>
  <c r="A30" i="17" s="1"/>
  <c r="A31" i="17" s="1"/>
  <c r="A32" i="17" s="1"/>
  <c r="A33" i="17" s="1"/>
  <c r="A34" i="17" s="1"/>
  <c r="A35" i="17" s="1"/>
  <c r="A6" i="16"/>
  <c r="A7" i="16" s="1"/>
  <c r="A8" i="16" s="1"/>
  <c r="A9" i="16" s="1"/>
  <c r="A10" i="16" s="1"/>
  <c r="A11" i="16" s="1"/>
  <c r="A12" i="16" s="1"/>
  <c r="A13" i="16" s="1"/>
  <c r="A14" i="16" s="1"/>
  <c r="A15" i="16" s="1"/>
  <c r="A16" i="16" s="1"/>
  <c r="A17" i="16" s="1"/>
  <c r="A18" i="16" s="1"/>
  <c r="A19" i="16" s="1"/>
  <c r="A20" i="16" s="1"/>
  <c r="A21" i="16" s="1"/>
  <c r="A22" i="16" s="1"/>
  <c r="A23" i="16" s="1"/>
  <c r="A24" i="16" s="1"/>
  <c r="A25" i="16" s="1"/>
  <c r="A26" i="16" s="1"/>
  <c r="A27" i="16" s="1"/>
  <c r="A28" i="16" s="1"/>
  <c r="A29" i="16" s="1"/>
  <c r="A30" i="16" s="1"/>
  <c r="A31" i="16" s="1"/>
  <c r="A32" i="16" s="1"/>
  <c r="A33" i="16" s="1"/>
  <c r="A34" i="16" s="1"/>
  <c r="A35" i="16" s="1"/>
  <c r="H17" i="10"/>
  <c r="G17" i="10"/>
  <c r="F17" i="10"/>
  <c r="H16" i="10"/>
  <c r="G16" i="10"/>
  <c r="F16" i="10"/>
  <c r="H15" i="10"/>
  <c r="G15" i="10"/>
  <c r="F15" i="10"/>
  <c r="H14" i="10"/>
  <c r="G14" i="10"/>
  <c r="F14" i="10"/>
  <c r="H13" i="10"/>
  <c r="G13" i="10"/>
  <c r="F13" i="10"/>
  <c r="H12" i="10"/>
  <c r="G12" i="10"/>
  <c r="F12" i="10"/>
  <c r="H11" i="10"/>
  <c r="G11" i="10"/>
  <c r="F11" i="10"/>
  <c r="H10" i="10"/>
  <c r="G10" i="10"/>
  <c r="F10" i="10"/>
  <c r="H9" i="10"/>
  <c r="G9" i="10"/>
  <c r="F9" i="10"/>
  <c r="H8" i="10"/>
  <c r="G8" i="10"/>
  <c r="F8" i="10"/>
  <c r="H7" i="10"/>
  <c r="G7" i="10"/>
  <c r="F7" i="10"/>
  <c r="H6" i="10"/>
  <c r="G6" i="10"/>
  <c r="F6" i="10"/>
  <c r="D17" i="10"/>
  <c r="C17" i="10"/>
  <c r="D16" i="10"/>
  <c r="C16" i="10"/>
  <c r="D15" i="10"/>
  <c r="C15" i="10"/>
  <c r="D14" i="10"/>
  <c r="C14" i="10"/>
  <c r="D13" i="10"/>
  <c r="C13" i="10"/>
  <c r="D12" i="10"/>
  <c r="C12" i="10"/>
  <c r="D11" i="10"/>
  <c r="C11" i="10"/>
  <c r="D10" i="10"/>
  <c r="C10" i="10"/>
  <c r="D9" i="10"/>
  <c r="C9" i="10"/>
  <c r="D8" i="10"/>
  <c r="C8" i="10"/>
  <c r="D7" i="10"/>
  <c r="C7" i="10"/>
  <c r="D6" i="10"/>
  <c r="C6" i="10"/>
  <c r="B110" i="2"/>
  <c r="A6" i="13"/>
  <c r="A7" i="13" s="1"/>
  <c r="A8" i="13" s="1"/>
  <c r="A9" i="13" s="1"/>
  <c r="A10" i="13" s="1"/>
  <c r="A11" i="13" s="1"/>
  <c r="A12" i="13" s="1"/>
  <c r="A13" i="13" s="1"/>
  <c r="A14" i="13" s="1"/>
  <c r="A15" i="13" s="1"/>
  <c r="A16" i="13" s="1"/>
  <c r="A17" i="13" s="1"/>
  <c r="A18" i="13" s="1"/>
  <c r="A19" i="13" s="1"/>
  <c r="A20" i="13" s="1"/>
  <c r="A21" i="13" s="1"/>
  <c r="A22" i="13" s="1"/>
  <c r="A23" i="13" s="1"/>
  <c r="A24" i="13" s="1"/>
  <c r="A25" i="13" s="1"/>
  <c r="A26" i="13" s="1"/>
  <c r="A27" i="13" s="1"/>
  <c r="A28" i="13" s="1"/>
  <c r="A29" i="13" s="1"/>
  <c r="A30" i="13" s="1"/>
  <c r="A31" i="13" s="1"/>
  <c r="A32" i="13" s="1"/>
  <c r="A33" i="13" s="1"/>
  <c r="A34" i="13" s="1"/>
  <c r="A35" i="13" s="1"/>
  <c r="F101" i="2"/>
  <c r="G101" i="2"/>
  <c r="H101" i="2"/>
  <c r="B16" i="11"/>
  <c r="B15" i="11"/>
  <c r="B14" i="11"/>
  <c r="B13" i="11"/>
  <c r="B12" i="11"/>
  <c r="C11" i="11"/>
  <c r="B11" i="11"/>
  <c r="D11" i="11" s="1"/>
  <c r="C10" i="11"/>
  <c r="B10" i="11"/>
  <c r="C9" i="11"/>
  <c r="B9" i="11"/>
  <c r="C8" i="11"/>
  <c r="B8" i="11"/>
  <c r="C7" i="11"/>
  <c r="B7" i="11"/>
  <c r="C6" i="11"/>
  <c r="B6" i="11"/>
  <c r="C5" i="11"/>
  <c r="B5" i="11"/>
  <c r="B16" i="9"/>
  <c r="B15" i="9"/>
  <c r="B14" i="9"/>
  <c r="B13" i="9"/>
  <c r="B12" i="9"/>
  <c r="C11" i="9"/>
  <c r="B11" i="9"/>
  <c r="C10" i="9"/>
  <c r="B10" i="9"/>
  <c r="D10" i="9" s="1"/>
  <c r="C9" i="9"/>
  <c r="B9" i="9"/>
  <c r="C8" i="9"/>
  <c r="B8" i="9"/>
  <c r="D8" i="9" s="1"/>
  <c r="C7" i="9"/>
  <c r="B7" i="9"/>
  <c r="C6" i="9"/>
  <c r="B6" i="9"/>
  <c r="D6" i="9" s="1"/>
  <c r="C5" i="9"/>
  <c r="B5" i="9"/>
  <c r="D7" i="11"/>
  <c r="AN110" i="1"/>
  <c r="T5" i="8"/>
  <c r="T4" i="8"/>
  <c r="T3" i="8"/>
  <c r="T2" i="8"/>
  <c r="Q5" i="8"/>
  <c r="Q4" i="8"/>
  <c r="Q3" i="8"/>
  <c r="Q2" i="8"/>
  <c r="T16" i="4"/>
  <c r="S16" i="4"/>
  <c r="R16" i="4"/>
  <c r="Q16" i="4"/>
  <c r="P16" i="4"/>
  <c r="O16" i="4"/>
  <c r="N16" i="4"/>
  <c r="M16" i="4"/>
  <c r="L16" i="4"/>
  <c r="K16" i="4"/>
  <c r="J16" i="4"/>
  <c r="I16" i="4"/>
  <c r="H16" i="4"/>
  <c r="G16" i="4"/>
  <c r="F16" i="4"/>
  <c r="E16" i="4"/>
  <c r="D16" i="4"/>
  <c r="C16" i="4"/>
  <c r="T10" i="4"/>
  <c r="S10" i="4"/>
  <c r="R10" i="4"/>
  <c r="Q10" i="4"/>
  <c r="P10" i="4"/>
  <c r="O10" i="4"/>
  <c r="N10" i="4"/>
  <c r="M10" i="4"/>
  <c r="L10" i="4"/>
  <c r="K10" i="4"/>
  <c r="J10" i="4"/>
  <c r="I10" i="4"/>
  <c r="H10" i="4"/>
  <c r="G10" i="4"/>
  <c r="F10" i="4"/>
  <c r="E10" i="4"/>
  <c r="D10" i="4"/>
  <c r="C10" i="4"/>
  <c r="M19" i="8"/>
  <c r="M18" i="8"/>
  <c r="M17" i="8"/>
  <c r="M16" i="8"/>
  <c r="M15" i="8"/>
  <c r="M14" i="8"/>
  <c r="M13" i="8"/>
  <c r="M12" i="8"/>
  <c r="M11" i="8"/>
  <c r="M10" i="8"/>
  <c r="M9" i="8"/>
  <c r="M8" i="8"/>
  <c r="M7" i="8"/>
  <c r="M6" i="8"/>
  <c r="M5" i="8"/>
  <c r="M4" i="8"/>
  <c r="C5" i="27" l="1"/>
  <c r="C6" i="27" s="1"/>
  <c r="D5" i="27"/>
  <c r="D6" i="27" s="1"/>
  <c r="D7" i="27" s="1"/>
  <c r="D8" i="27" s="1"/>
  <c r="D9" i="27" s="1"/>
  <c r="D10" i="27" s="1"/>
  <c r="D11" i="27" s="1"/>
  <c r="D12" i="27" s="1"/>
  <c r="D13" i="27" s="1"/>
  <c r="D14" i="27" s="1"/>
  <c r="D15" i="27" s="1"/>
  <c r="D16" i="27" s="1"/>
  <c r="D17" i="27" s="1"/>
  <c r="D18" i="27" s="1"/>
  <c r="D19" i="27" s="1"/>
  <c r="D20" i="27" s="1"/>
  <c r="D21" i="27" s="1"/>
  <c r="D22" i="27" s="1"/>
  <c r="D23" i="27" s="1"/>
  <c r="E5" i="27"/>
  <c r="E6" i="27" s="1"/>
  <c r="E7" i="27" s="1"/>
  <c r="E8" i="27" s="1"/>
  <c r="E9" i="27" s="1"/>
  <c r="E10" i="27" s="1"/>
  <c r="E11" i="27" s="1"/>
  <c r="E12" i="27" s="1"/>
  <c r="E13" i="27" s="1"/>
  <c r="E14" i="27" s="1"/>
  <c r="E15" i="27" s="1"/>
  <c r="E16" i="27" s="1"/>
  <c r="E17" i="27" s="1"/>
  <c r="E18" i="27" s="1"/>
  <c r="E19" i="27" s="1"/>
  <c r="E20" i="27" s="1"/>
  <c r="E21" i="27" s="1"/>
  <c r="E22" i="27" s="1"/>
  <c r="E23" i="27" s="1"/>
  <c r="E24" i="27" s="1"/>
  <c r="E25" i="27" s="1"/>
  <c r="E26" i="27" s="1"/>
  <c r="E27" i="27" s="1"/>
  <c r="E28" i="27" s="1"/>
  <c r="E29" i="27" s="1"/>
  <c r="E30" i="27" s="1"/>
  <c r="E31" i="27" s="1"/>
  <c r="E32" i="27" s="1"/>
  <c r="E33" i="27" s="1"/>
  <c r="E34" i="27" s="1"/>
  <c r="E35" i="27" s="1"/>
  <c r="E5" i="21"/>
  <c r="B17" i="11"/>
  <c r="B19" i="11" s="1"/>
  <c r="C24" i="25"/>
  <c r="C25" i="25" s="1"/>
  <c r="C26" i="25" s="1"/>
  <c r="C27" i="25" s="1"/>
  <c r="C28" i="13"/>
  <c r="D28" i="13"/>
  <c r="C24" i="13"/>
  <c r="D24" i="13"/>
  <c r="D5" i="26"/>
  <c r="D6" i="26" s="1"/>
  <c r="D7" i="26" s="1"/>
  <c r="D8" i="26" s="1"/>
  <c r="D9" i="26" s="1"/>
  <c r="D10" i="26" s="1"/>
  <c r="D11" i="26" s="1"/>
  <c r="D12" i="26" s="1"/>
  <c r="D13" i="26" s="1"/>
  <c r="D14" i="26" s="1"/>
  <c r="D15" i="26" s="1"/>
  <c r="D16" i="26" s="1"/>
  <c r="D17" i="26" s="1"/>
  <c r="D18" i="26" s="1"/>
  <c r="D19" i="26" s="1"/>
  <c r="D20" i="26" s="1"/>
  <c r="D21" i="26" s="1"/>
  <c r="D22" i="26" s="1"/>
  <c r="D23" i="26" s="1"/>
  <c r="D24" i="26" s="1"/>
  <c r="D25" i="26" s="1"/>
  <c r="D26" i="26" s="1"/>
  <c r="D27" i="26" s="1"/>
  <c r="C5" i="26"/>
  <c r="E5" i="26" s="1"/>
  <c r="D8" i="11"/>
  <c r="D7" i="9"/>
  <c r="D9" i="9"/>
  <c r="D5" i="11"/>
  <c r="D11" i="9"/>
  <c r="D6" i="11"/>
  <c r="D10" i="11"/>
  <c r="N4" i="8"/>
  <c r="B17" i="9"/>
  <c r="D5" i="9"/>
  <c r="D9" i="11"/>
  <c r="B18" i="11"/>
  <c r="B18" i="9"/>
  <c r="N5" i="8"/>
  <c r="N2" i="8"/>
  <c r="N3" i="8"/>
  <c r="C7" i="27" l="1"/>
  <c r="C8" i="27" s="1"/>
  <c r="C9" i="27" s="1"/>
  <c r="C10" i="27" s="1"/>
  <c r="C11" i="27" s="1"/>
  <c r="C12" i="27" s="1"/>
  <c r="C13" i="27" s="1"/>
  <c r="C14" i="27" s="1"/>
  <c r="C15" i="27" s="1"/>
  <c r="C16" i="27" s="1"/>
  <c r="C17" i="27" s="1"/>
  <c r="C18" i="27" s="1"/>
  <c r="C19" i="27" s="1"/>
  <c r="C20" i="27" s="1"/>
  <c r="C21" i="27" s="1"/>
  <c r="C22" i="27" s="1"/>
  <c r="C23" i="27" s="1"/>
  <c r="C24" i="27" s="1"/>
  <c r="C25" i="27" s="1"/>
  <c r="C26" i="27" s="1"/>
  <c r="C27" i="27" s="1"/>
  <c r="C28" i="27" s="1"/>
  <c r="C29" i="27" s="1"/>
  <c r="C30" i="27" s="1"/>
  <c r="C31" i="27" s="1"/>
  <c r="C32" i="27" s="1"/>
  <c r="C33" i="27" s="1"/>
  <c r="C34" i="27" s="1"/>
  <c r="C35" i="27" s="1"/>
  <c r="F6" i="27"/>
  <c r="D24" i="27"/>
  <c r="D25" i="27" s="1"/>
  <c r="D26" i="27" s="1"/>
  <c r="D27" i="27" s="1"/>
  <c r="D28" i="27" s="1"/>
  <c r="D29" i="27" s="1"/>
  <c r="D30" i="27" s="1"/>
  <c r="D31" i="27" s="1"/>
  <c r="D32" i="27" s="1"/>
  <c r="D33" i="27" s="1"/>
  <c r="D34" i="27" s="1"/>
  <c r="D35" i="27" s="1"/>
  <c r="F5" i="27"/>
  <c r="D28" i="26"/>
  <c r="D29" i="26" s="1"/>
  <c r="D30" i="26" s="1"/>
  <c r="D31" i="26" s="1"/>
  <c r="D32" i="26" s="1"/>
  <c r="D33" i="26" s="1"/>
  <c r="D34" i="26" s="1"/>
  <c r="D35" i="26" s="1"/>
  <c r="C28" i="25"/>
  <c r="C29" i="25" s="1"/>
  <c r="C30" i="25" s="1"/>
  <c r="C31" i="25" s="1"/>
  <c r="C32" i="25" s="1"/>
  <c r="C33" i="25" s="1"/>
  <c r="C34" i="25" s="1"/>
  <c r="C35" i="25" s="1"/>
  <c r="C6" i="26"/>
  <c r="C7" i="26" s="1"/>
  <c r="C8" i="26" s="1"/>
  <c r="C9" i="26" s="1"/>
  <c r="C10" i="26" s="1"/>
  <c r="C11" i="26" s="1"/>
  <c r="C12" i="26" s="1"/>
  <c r="C13" i="26" s="1"/>
  <c r="C14" i="26" s="1"/>
  <c r="C15" i="26" s="1"/>
  <c r="C16" i="26" s="1"/>
  <c r="C17" i="26" s="1"/>
  <c r="C18" i="26" s="1"/>
  <c r="C19" i="26" s="1"/>
  <c r="C20" i="26" s="1"/>
  <c r="C21" i="26" s="1"/>
  <c r="C22" i="26" s="1"/>
  <c r="C23" i="26" s="1"/>
  <c r="C24" i="26" s="1"/>
  <c r="C25" i="26" s="1"/>
  <c r="C26" i="26" s="1"/>
  <c r="C27" i="26" s="1"/>
  <c r="C28" i="26" s="1"/>
  <c r="C29" i="26" s="1"/>
  <c r="C30" i="26" s="1"/>
  <c r="C31" i="26" s="1"/>
  <c r="C32" i="26" s="1"/>
  <c r="C33" i="26" s="1"/>
  <c r="C34" i="26" s="1"/>
  <c r="C35" i="26" s="1"/>
  <c r="B19" i="9"/>
  <c r="C5" i="18"/>
  <c r="E5" i="24"/>
  <c r="E6" i="24" s="1"/>
  <c r="E7" i="24" s="1"/>
  <c r="E8" i="24" s="1"/>
  <c r="E9" i="24" s="1"/>
  <c r="E10" i="24" s="1"/>
  <c r="E11" i="24" s="1"/>
  <c r="E12" i="24" s="1"/>
  <c r="E13" i="24" s="1"/>
  <c r="E14" i="24" s="1"/>
  <c r="E15" i="24" s="1"/>
  <c r="E16" i="24" s="1"/>
  <c r="E17" i="24" s="1"/>
  <c r="E18" i="24" s="1"/>
  <c r="E19" i="24" s="1"/>
  <c r="E20" i="24" s="1"/>
  <c r="E21" i="24" s="1"/>
  <c r="E22" i="24" s="1"/>
  <c r="E23" i="24" s="1"/>
  <c r="E24" i="24" s="1"/>
  <c r="E25" i="24" s="1"/>
  <c r="E26" i="24" s="1"/>
  <c r="E27" i="24" s="1"/>
  <c r="E28" i="24" s="1"/>
  <c r="E29" i="24" s="1"/>
  <c r="E30" i="24" s="1"/>
  <c r="E31" i="24" s="1"/>
  <c r="E32" i="24" s="1"/>
  <c r="E33" i="24" s="1"/>
  <c r="E34" i="24" s="1"/>
  <c r="E35" i="24" s="1"/>
  <c r="C5" i="22"/>
  <c r="C6" i="22" s="1"/>
  <c r="C7" i="22" s="1"/>
  <c r="C8" i="22" s="1"/>
  <c r="C9" i="22" s="1"/>
  <c r="C10" i="22" s="1"/>
  <c r="C11" i="22" s="1"/>
  <c r="C12" i="22" s="1"/>
  <c r="C13" i="22" s="1"/>
  <c r="C14" i="22" s="1"/>
  <c r="C15" i="22" s="1"/>
  <c r="C16" i="22" s="1"/>
  <c r="C17" i="22" s="1"/>
  <c r="C18" i="22" s="1"/>
  <c r="C19" i="22" s="1"/>
  <c r="C20" i="22" s="1"/>
  <c r="C21" i="22" s="1"/>
  <c r="C22" i="22" s="1"/>
  <c r="C23" i="22" s="1"/>
  <c r="C24" i="22" s="1"/>
  <c r="C25" i="22" s="1"/>
  <c r="C26" i="22" s="1"/>
  <c r="C27" i="22" s="1"/>
  <c r="C28" i="22" s="1"/>
  <c r="C29" i="22" s="1"/>
  <c r="C30" i="22" s="1"/>
  <c r="C31" i="22" s="1"/>
  <c r="C32" i="22" s="1"/>
  <c r="C33" i="22" s="1"/>
  <c r="C34" i="22" s="1"/>
  <c r="C35" i="22" s="1"/>
  <c r="D5" i="24"/>
  <c r="D6" i="24" s="1"/>
  <c r="D7" i="24" s="1"/>
  <c r="D8" i="24" s="1"/>
  <c r="D9" i="24" s="1"/>
  <c r="D10" i="24" s="1"/>
  <c r="D11" i="24" s="1"/>
  <c r="D12" i="24" s="1"/>
  <c r="D13" i="24" s="1"/>
  <c r="D14" i="24" s="1"/>
  <c r="D15" i="24" s="1"/>
  <c r="D16" i="24" s="1"/>
  <c r="D17" i="24" s="1"/>
  <c r="D18" i="24" s="1"/>
  <c r="D19" i="24" s="1"/>
  <c r="D20" i="24" s="1"/>
  <c r="D21" i="24" s="1"/>
  <c r="D22" i="24" s="1"/>
  <c r="D23" i="24" s="1"/>
  <c r="D24" i="24" s="1"/>
  <c r="D25" i="24" s="1"/>
  <c r="D26" i="24" s="1"/>
  <c r="D27" i="24" s="1"/>
  <c r="D28" i="24" s="1"/>
  <c r="D29" i="24" s="1"/>
  <c r="D30" i="24" s="1"/>
  <c r="D31" i="24" s="1"/>
  <c r="D32" i="24" s="1"/>
  <c r="D33" i="24" s="1"/>
  <c r="D34" i="24" s="1"/>
  <c r="D35" i="24" s="1"/>
  <c r="C5" i="24"/>
  <c r="D5" i="23"/>
  <c r="D6" i="23" s="1"/>
  <c r="D7" i="23" s="1"/>
  <c r="D8" i="23" s="1"/>
  <c r="D9" i="23" s="1"/>
  <c r="D10" i="23" s="1"/>
  <c r="D11" i="23" s="1"/>
  <c r="D12" i="23" s="1"/>
  <c r="D13" i="23" s="1"/>
  <c r="D14" i="23" s="1"/>
  <c r="D15" i="23" s="1"/>
  <c r="D16" i="23" s="1"/>
  <c r="D17" i="23" s="1"/>
  <c r="D18" i="23" s="1"/>
  <c r="D19" i="23" s="1"/>
  <c r="D20" i="23" s="1"/>
  <c r="D21" i="23" s="1"/>
  <c r="D22" i="23" s="1"/>
  <c r="D23" i="23" s="1"/>
  <c r="D24" i="23" s="1"/>
  <c r="D25" i="23" s="1"/>
  <c r="D26" i="23" s="1"/>
  <c r="D27" i="23" s="1"/>
  <c r="D28" i="23" s="1"/>
  <c r="D29" i="23" s="1"/>
  <c r="D30" i="23" s="1"/>
  <c r="D31" i="23" s="1"/>
  <c r="D32" i="23" s="1"/>
  <c r="D33" i="23" s="1"/>
  <c r="D34" i="23" s="1"/>
  <c r="D35" i="23" s="1"/>
  <c r="C5" i="23"/>
  <c r="F7" i="27"/>
  <c r="C5" i="17"/>
  <c r="J19" i="8"/>
  <c r="J18" i="8"/>
  <c r="J17" i="8"/>
  <c r="J16" i="8"/>
  <c r="J15" i="8"/>
  <c r="J14" i="8"/>
  <c r="J12" i="8"/>
  <c r="J11" i="8"/>
  <c r="J10" i="8"/>
  <c r="J9" i="8"/>
  <c r="J8" i="8"/>
  <c r="J7" i="8"/>
  <c r="J6" i="8"/>
  <c r="J5" i="8"/>
  <c r="J4" i="8"/>
  <c r="J13" i="8"/>
  <c r="E8" i="26" l="1"/>
  <c r="E6" i="26"/>
  <c r="E7" i="26"/>
  <c r="E5" i="23"/>
  <c r="C6" i="23"/>
  <c r="D5" i="20"/>
  <c r="E6" i="21"/>
  <c r="E7" i="21" s="1"/>
  <c r="E8" i="21" s="1"/>
  <c r="E9" i="21" s="1"/>
  <c r="E10" i="21" s="1"/>
  <c r="E11" i="21" s="1"/>
  <c r="E12" i="21" s="1"/>
  <c r="E13" i="21" s="1"/>
  <c r="E14" i="21" s="1"/>
  <c r="E15" i="21" s="1"/>
  <c r="E16" i="21" s="1"/>
  <c r="E17" i="21" s="1"/>
  <c r="E18" i="21" s="1"/>
  <c r="E19" i="21" s="1"/>
  <c r="E20" i="21" s="1"/>
  <c r="E21" i="21" s="1"/>
  <c r="E22" i="21" s="1"/>
  <c r="E23" i="21" s="1"/>
  <c r="E24" i="21" s="1"/>
  <c r="E25" i="21" s="1"/>
  <c r="E26" i="21" s="1"/>
  <c r="E27" i="21" s="1"/>
  <c r="E28" i="21" s="1"/>
  <c r="E29" i="21" s="1"/>
  <c r="E30" i="21" s="1"/>
  <c r="E31" i="21" s="1"/>
  <c r="E32" i="21" s="1"/>
  <c r="E33" i="21" s="1"/>
  <c r="E34" i="21" s="1"/>
  <c r="E35" i="21" s="1"/>
  <c r="D5" i="21"/>
  <c r="D6" i="21" s="1"/>
  <c r="D7" i="21" s="1"/>
  <c r="D8" i="21" s="1"/>
  <c r="D9" i="21" s="1"/>
  <c r="D10" i="21" s="1"/>
  <c r="D11" i="21" s="1"/>
  <c r="D12" i="21" s="1"/>
  <c r="D13" i="21" s="1"/>
  <c r="D14" i="21" s="1"/>
  <c r="D15" i="21" s="1"/>
  <c r="D16" i="21" s="1"/>
  <c r="D17" i="21" s="1"/>
  <c r="D18" i="21" s="1"/>
  <c r="D19" i="21" s="1"/>
  <c r="D20" i="21" s="1"/>
  <c r="D21" i="21" s="1"/>
  <c r="D22" i="21" s="1"/>
  <c r="D23" i="21" s="1"/>
  <c r="D24" i="21" s="1"/>
  <c r="D25" i="21" s="1"/>
  <c r="D26" i="21" s="1"/>
  <c r="D27" i="21" s="1"/>
  <c r="D28" i="21" s="1"/>
  <c r="D29" i="21" s="1"/>
  <c r="D30" i="21" s="1"/>
  <c r="D31" i="21" s="1"/>
  <c r="D32" i="21" s="1"/>
  <c r="D33" i="21" s="1"/>
  <c r="D34" i="21" s="1"/>
  <c r="D35" i="21" s="1"/>
  <c r="C5" i="19"/>
  <c r="C6" i="19" s="1"/>
  <c r="C7" i="19" s="1"/>
  <c r="C8" i="19" s="1"/>
  <c r="C5" i="20"/>
  <c r="C6" i="20" s="1"/>
  <c r="C5" i="21"/>
  <c r="C6" i="24"/>
  <c r="F5" i="24"/>
  <c r="F8" i="27"/>
  <c r="E9" i="26"/>
  <c r="C5" i="16"/>
  <c r="K2" i="8"/>
  <c r="K4" i="8"/>
  <c r="K3" i="8"/>
  <c r="K5" i="8"/>
  <c r="G7" i="8"/>
  <c r="G6" i="8"/>
  <c r="G5" i="8"/>
  <c r="G4" i="8"/>
  <c r="G3" i="8"/>
  <c r="G2" i="8"/>
  <c r="D7" i="8"/>
  <c r="D6" i="8"/>
  <c r="D5" i="8"/>
  <c r="D4" i="8"/>
  <c r="D3" i="8"/>
  <c r="D2" i="8"/>
  <c r="O105" i="7"/>
  <c r="O101" i="7"/>
  <c r="O97" i="7"/>
  <c r="O93" i="7"/>
  <c r="O89" i="7"/>
  <c r="O85" i="7"/>
  <c r="O81" i="7"/>
  <c r="O77" i="7"/>
  <c r="O73" i="7"/>
  <c r="O69" i="7"/>
  <c r="O65" i="7"/>
  <c r="O61" i="7"/>
  <c r="O57" i="7"/>
  <c r="O53" i="7"/>
  <c r="O49" i="7"/>
  <c r="O45" i="7"/>
  <c r="O41" i="7"/>
  <c r="O37" i="7"/>
  <c r="S33" i="7"/>
  <c r="O33" i="7"/>
  <c r="S32" i="7"/>
  <c r="S30" i="7"/>
  <c r="S29" i="7"/>
  <c r="O29" i="7"/>
  <c r="S28" i="7"/>
  <c r="S27" i="7"/>
  <c r="S26" i="7"/>
  <c r="S25" i="7"/>
  <c r="O25" i="7"/>
  <c r="S24" i="7"/>
  <c r="S23" i="7"/>
  <c r="S22" i="7"/>
  <c r="S21" i="7"/>
  <c r="O21" i="7"/>
  <c r="S20" i="7"/>
  <c r="S19" i="7"/>
  <c r="S18" i="7"/>
  <c r="S17" i="7"/>
  <c r="O17" i="7"/>
  <c r="S16" i="7"/>
  <c r="S15" i="7"/>
  <c r="S14" i="7"/>
  <c r="S13" i="7"/>
  <c r="O13" i="7"/>
  <c r="N13" i="7"/>
  <c r="N17" i="7" s="1"/>
  <c r="N21" i="7" s="1"/>
  <c r="N25" i="7" s="1"/>
  <c r="N29" i="7" s="1"/>
  <c r="N33" i="7" s="1"/>
  <c r="N37" i="7" s="1"/>
  <c r="N41" i="7" s="1"/>
  <c r="N45" i="7" s="1"/>
  <c r="N49" i="7" s="1"/>
  <c r="N53" i="7" s="1"/>
  <c r="N57" i="7" s="1"/>
  <c r="N61" i="7" s="1"/>
  <c r="N65" i="7" s="1"/>
  <c r="N69" i="7" s="1"/>
  <c r="N73" i="7" s="1"/>
  <c r="N77" i="7" s="1"/>
  <c r="N81" i="7" s="1"/>
  <c r="N85" i="7" s="1"/>
  <c r="N89" i="7" s="1"/>
  <c r="N93" i="7" s="1"/>
  <c r="N97" i="7" s="1"/>
  <c r="N101" i="7" s="1"/>
  <c r="N105" i="7" s="1"/>
  <c r="S12" i="7"/>
  <c r="S11" i="7"/>
  <c r="S10" i="7"/>
  <c r="O9" i="7"/>
  <c r="S13" i="4"/>
  <c r="R13" i="4"/>
  <c r="Q13" i="4"/>
  <c r="P13" i="4"/>
  <c r="O13" i="4"/>
  <c r="N13" i="4"/>
  <c r="M13" i="4"/>
  <c r="L13" i="4"/>
  <c r="K13" i="4"/>
  <c r="J13" i="4"/>
  <c r="I13" i="4"/>
  <c r="H13" i="4"/>
  <c r="G13" i="4"/>
  <c r="F13" i="4"/>
  <c r="E13" i="4"/>
  <c r="D13" i="4"/>
  <c r="C13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S3" i="4"/>
  <c r="R3" i="4"/>
  <c r="Q3" i="4"/>
  <c r="P3" i="4"/>
  <c r="O3" i="4"/>
  <c r="N3" i="4"/>
  <c r="M3" i="4"/>
  <c r="L3" i="4"/>
  <c r="K3" i="4"/>
  <c r="J3" i="4"/>
  <c r="I3" i="4"/>
  <c r="H3" i="4"/>
  <c r="G3" i="4"/>
  <c r="F3" i="4"/>
  <c r="E3" i="4"/>
  <c r="D3" i="4"/>
  <c r="C3" i="4"/>
  <c r="B28" i="5"/>
  <c r="F5" i="21" l="1"/>
  <c r="C6" i="21"/>
  <c r="E5" i="20"/>
  <c r="D6" i="20"/>
  <c r="D7" i="20" s="1"/>
  <c r="D8" i="20" s="1"/>
  <c r="D9" i="20" s="1"/>
  <c r="D10" i="20" s="1"/>
  <c r="D11" i="20" s="1"/>
  <c r="D12" i="20" s="1"/>
  <c r="D13" i="20" s="1"/>
  <c r="D14" i="20" s="1"/>
  <c r="D15" i="20" s="1"/>
  <c r="D16" i="20" s="1"/>
  <c r="D17" i="20" s="1"/>
  <c r="D18" i="20" s="1"/>
  <c r="D19" i="20" s="1"/>
  <c r="D20" i="20" s="1"/>
  <c r="D21" i="20" s="1"/>
  <c r="D22" i="20" s="1"/>
  <c r="D23" i="20" s="1"/>
  <c r="D24" i="20" s="1"/>
  <c r="D25" i="20" s="1"/>
  <c r="D26" i="20" s="1"/>
  <c r="D27" i="20" s="1"/>
  <c r="D28" i="20" s="1"/>
  <c r="D29" i="20" s="1"/>
  <c r="D30" i="20" s="1"/>
  <c r="D31" i="20" s="1"/>
  <c r="D32" i="20" s="1"/>
  <c r="D33" i="20" s="1"/>
  <c r="D34" i="20" s="1"/>
  <c r="D35" i="20" s="1"/>
  <c r="C7" i="23"/>
  <c r="E6" i="23"/>
  <c r="C7" i="20"/>
  <c r="C7" i="24"/>
  <c r="F6" i="24"/>
  <c r="F9" i="27"/>
  <c r="E10" i="26"/>
  <c r="C9" i="19"/>
  <c r="C7" i="17"/>
  <c r="C6" i="16"/>
  <c r="T29" i="4"/>
  <c r="S29" i="4"/>
  <c r="S30" i="4"/>
  <c r="T30" i="4"/>
  <c r="R29" i="4"/>
  <c r="R30" i="4"/>
  <c r="R28" i="4"/>
  <c r="S28" i="4"/>
  <c r="T28" i="4"/>
  <c r="E120" i="3"/>
  <c r="D120" i="3"/>
  <c r="C120" i="3"/>
  <c r="E117" i="3"/>
  <c r="D117" i="3"/>
  <c r="C117" i="3"/>
  <c r="C116" i="3"/>
  <c r="E113" i="3"/>
  <c r="D113" i="3"/>
  <c r="C113" i="3"/>
  <c r="D112" i="3"/>
  <c r="D119" i="3" s="1"/>
  <c r="C112" i="3"/>
  <c r="C119" i="3" s="1"/>
  <c r="E6" i="20" l="1"/>
  <c r="C8" i="24"/>
  <c r="F7" i="24"/>
  <c r="C8" i="20"/>
  <c r="E7" i="20"/>
  <c r="C8" i="23"/>
  <c r="E7" i="23"/>
  <c r="C7" i="21"/>
  <c r="F6" i="21"/>
  <c r="F10" i="27"/>
  <c r="E11" i="26"/>
  <c r="C10" i="19"/>
  <c r="C8" i="17"/>
  <c r="C7" i="16"/>
  <c r="D116" i="3"/>
  <c r="C114" i="3"/>
  <c r="D114" i="3"/>
  <c r="E91" i="3"/>
  <c r="E112" i="3" s="1"/>
  <c r="F7" i="21" l="1"/>
  <c r="C8" i="21"/>
  <c r="C9" i="20"/>
  <c r="E8" i="20"/>
  <c r="C9" i="23"/>
  <c r="E8" i="23"/>
  <c r="C9" i="24"/>
  <c r="F8" i="24"/>
  <c r="F11" i="27"/>
  <c r="E12" i="26"/>
  <c r="C11" i="19"/>
  <c r="C12" i="19" s="1"/>
  <c r="C13" i="19" s="1"/>
  <c r="C14" i="19" s="1"/>
  <c r="C15" i="19" s="1"/>
  <c r="C16" i="19" s="1"/>
  <c r="C17" i="19" s="1"/>
  <c r="C18" i="19" s="1"/>
  <c r="C19" i="19" s="1"/>
  <c r="C20" i="19" s="1"/>
  <c r="C21" i="19" s="1"/>
  <c r="C22" i="19" s="1"/>
  <c r="C23" i="19" s="1"/>
  <c r="C24" i="19" s="1"/>
  <c r="C25" i="19" s="1"/>
  <c r="C26" i="19" s="1"/>
  <c r="C27" i="19" s="1"/>
  <c r="C28" i="19" s="1"/>
  <c r="C29" i="19" s="1"/>
  <c r="C30" i="19" s="1"/>
  <c r="C31" i="19" s="1"/>
  <c r="C32" i="19" s="1"/>
  <c r="C33" i="19" s="1"/>
  <c r="C34" i="19" s="1"/>
  <c r="C35" i="19" s="1"/>
  <c r="C9" i="17"/>
  <c r="C8" i="16"/>
  <c r="E119" i="3"/>
  <c r="E116" i="3"/>
  <c r="E114" i="3"/>
  <c r="B109" i="3"/>
  <c r="B108" i="3"/>
  <c r="B107" i="3"/>
  <c r="B106" i="3"/>
  <c r="B105" i="3"/>
  <c r="B104" i="3"/>
  <c r="B103" i="3"/>
  <c r="B102" i="3"/>
  <c r="B101" i="3"/>
  <c r="B100" i="3"/>
  <c r="B99" i="3"/>
  <c r="B97" i="3"/>
  <c r="B96" i="3"/>
  <c r="B95" i="3"/>
  <c r="B94" i="3"/>
  <c r="B93" i="3"/>
  <c r="B92" i="3"/>
  <c r="B91" i="3"/>
  <c r="B90" i="3"/>
  <c r="B89" i="3"/>
  <c r="B88" i="3"/>
  <c r="B87" i="3"/>
  <c r="B86" i="3"/>
  <c r="C10" i="24" l="1"/>
  <c r="F9" i="24"/>
  <c r="C10" i="23"/>
  <c r="E9" i="23"/>
  <c r="E9" i="20"/>
  <c r="C10" i="20"/>
  <c r="F8" i="21"/>
  <c r="C9" i="21"/>
  <c r="F12" i="27"/>
  <c r="E13" i="26"/>
  <c r="C10" i="17"/>
  <c r="C11" i="17" s="1"/>
  <c r="C12" i="17" s="1"/>
  <c r="C13" i="17" s="1"/>
  <c r="C14" i="17" s="1"/>
  <c r="C15" i="17" s="1"/>
  <c r="C16" i="17" s="1"/>
  <c r="C17" i="17" s="1"/>
  <c r="C18" i="17" s="1"/>
  <c r="C19" i="17" s="1"/>
  <c r="C20" i="17" s="1"/>
  <c r="C21" i="17" s="1"/>
  <c r="C22" i="17" s="1"/>
  <c r="C23" i="17" s="1"/>
  <c r="C24" i="17" s="1"/>
  <c r="C25" i="17" s="1"/>
  <c r="C26" i="17" s="1"/>
  <c r="C27" i="17" s="1"/>
  <c r="C28" i="17" s="1"/>
  <c r="C29" i="17" s="1"/>
  <c r="C30" i="17" s="1"/>
  <c r="C31" i="17" s="1"/>
  <c r="C32" i="17" s="1"/>
  <c r="C33" i="17" s="1"/>
  <c r="C34" i="17" s="1"/>
  <c r="C35" i="17" s="1"/>
  <c r="C9" i="16"/>
  <c r="B98" i="3"/>
  <c r="E10" i="20" l="1"/>
  <c r="C11" i="20"/>
  <c r="C12" i="20" s="1"/>
  <c r="C13" i="20" s="1"/>
  <c r="C14" i="20" s="1"/>
  <c r="C15" i="20" s="1"/>
  <c r="C16" i="20" s="1"/>
  <c r="C17" i="20" s="1"/>
  <c r="C18" i="20" s="1"/>
  <c r="C19" i="20" s="1"/>
  <c r="C20" i="20" s="1"/>
  <c r="C21" i="20" s="1"/>
  <c r="C22" i="20" s="1"/>
  <c r="C23" i="20" s="1"/>
  <c r="C24" i="20" s="1"/>
  <c r="C25" i="20" s="1"/>
  <c r="C26" i="20" s="1"/>
  <c r="C27" i="20" s="1"/>
  <c r="C28" i="20" s="1"/>
  <c r="C29" i="20" s="1"/>
  <c r="C30" i="20" s="1"/>
  <c r="C31" i="20" s="1"/>
  <c r="C32" i="20" s="1"/>
  <c r="C33" i="20" s="1"/>
  <c r="C34" i="20" s="1"/>
  <c r="C35" i="20" s="1"/>
  <c r="C11" i="23"/>
  <c r="C12" i="23" s="1"/>
  <c r="C13" i="23" s="1"/>
  <c r="C14" i="23" s="1"/>
  <c r="C15" i="23" s="1"/>
  <c r="C16" i="23" s="1"/>
  <c r="C17" i="23" s="1"/>
  <c r="C18" i="23" s="1"/>
  <c r="C19" i="23" s="1"/>
  <c r="C20" i="23" s="1"/>
  <c r="C21" i="23" s="1"/>
  <c r="C22" i="23" s="1"/>
  <c r="C23" i="23" s="1"/>
  <c r="C24" i="23" s="1"/>
  <c r="C25" i="23" s="1"/>
  <c r="C26" i="23" s="1"/>
  <c r="C27" i="23" s="1"/>
  <c r="C28" i="23" s="1"/>
  <c r="C29" i="23" s="1"/>
  <c r="C30" i="23" s="1"/>
  <c r="C31" i="23" s="1"/>
  <c r="C32" i="23" s="1"/>
  <c r="C33" i="23" s="1"/>
  <c r="C34" i="23" s="1"/>
  <c r="C35" i="23" s="1"/>
  <c r="E10" i="23"/>
  <c r="F9" i="21"/>
  <c r="C10" i="21"/>
  <c r="C11" i="24"/>
  <c r="C12" i="24" s="1"/>
  <c r="C13" i="24" s="1"/>
  <c r="C14" i="24" s="1"/>
  <c r="C15" i="24" s="1"/>
  <c r="C16" i="24" s="1"/>
  <c r="C17" i="24" s="1"/>
  <c r="C18" i="24" s="1"/>
  <c r="C19" i="24" s="1"/>
  <c r="C20" i="24" s="1"/>
  <c r="C21" i="24" s="1"/>
  <c r="C22" i="24" s="1"/>
  <c r="C23" i="24" s="1"/>
  <c r="C24" i="24" s="1"/>
  <c r="C25" i="24" s="1"/>
  <c r="C26" i="24" s="1"/>
  <c r="C27" i="24" s="1"/>
  <c r="C28" i="24" s="1"/>
  <c r="C29" i="24" s="1"/>
  <c r="C30" i="24" s="1"/>
  <c r="C31" i="24" s="1"/>
  <c r="C32" i="24" s="1"/>
  <c r="C33" i="24" s="1"/>
  <c r="C34" i="24" s="1"/>
  <c r="C35" i="24" s="1"/>
  <c r="F10" i="24"/>
  <c r="F13" i="27"/>
  <c r="E14" i="26"/>
  <c r="C10" i="16"/>
  <c r="B110" i="3"/>
  <c r="G113" i="3"/>
  <c r="G117" i="3" s="1"/>
  <c r="F113" i="3"/>
  <c r="G112" i="3"/>
  <c r="G116" i="3" s="1"/>
  <c r="F112" i="3"/>
  <c r="F116" i="3" s="1"/>
  <c r="F10" i="21" l="1"/>
  <c r="C11" i="21"/>
  <c r="C12" i="21" s="1"/>
  <c r="C13" i="21" s="1"/>
  <c r="C14" i="21" s="1"/>
  <c r="C15" i="21" s="1"/>
  <c r="C16" i="21" s="1"/>
  <c r="C17" i="21" s="1"/>
  <c r="C18" i="21" s="1"/>
  <c r="C19" i="21" s="1"/>
  <c r="C20" i="21" s="1"/>
  <c r="C21" i="21" s="1"/>
  <c r="C22" i="21" s="1"/>
  <c r="C23" i="21" s="1"/>
  <c r="C24" i="21" s="1"/>
  <c r="C25" i="21" s="1"/>
  <c r="C26" i="21" s="1"/>
  <c r="C27" i="21" s="1"/>
  <c r="C28" i="21" s="1"/>
  <c r="C29" i="21" s="1"/>
  <c r="C30" i="21" s="1"/>
  <c r="C31" i="21" s="1"/>
  <c r="C32" i="21" s="1"/>
  <c r="C33" i="21" s="1"/>
  <c r="C34" i="21" s="1"/>
  <c r="C35" i="21" s="1"/>
  <c r="F11" i="24"/>
  <c r="E11" i="23"/>
  <c r="E11" i="20"/>
  <c r="F14" i="27"/>
  <c r="E15" i="26"/>
  <c r="C11" i="16"/>
  <c r="C12" i="16" s="1"/>
  <c r="C13" i="16" s="1"/>
  <c r="C14" i="16" s="1"/>
  <c r="C15" i="16" s="1"/>
  <c r="C16" i="16" s="1"/>
  <c r="C17" i="16" s="1"/>
  <c r="C18" i="16" s="1"/>
  <c r="C19" i="16" s="1"/>
  <c r="C20" i="16" s="1"/>
  <c r="C21" i="16" s="1"/>
  <c r="C22" i="16" s="1"/>
  <c r="C23" i="16" s="1"/>
  <c r="C24" i="16" s="1"/>
  <c r="C25" i="16" s="1"/>
  <c r="C26" i="16" s="1"/>
  <c r="C27" i="16" s="1"/>
  <c r="C28" i="16" s="1"/>
  <c r="C29" i="16" s="1"/>
  <c r="C30" i="16" s="1"/>
  <c r="C31" i="16" s="1"/>
  <c r="C32" i="16" s="1"/>
  <c r="C33" i="16" s="1"/>
  <c r="C34" i="16" s="1"/>
  <c r="C35" i="16" s="1"/>
  <c r="J113" i="3"/>
  <c r="F119" i="3"/>
  <c r="F114" i="3"/>
  <c r="G114" i="3"/>
  <c r="G119" i="3"/>
  <c r="F120" i="3"/>
  <c r="G120" i="3"/>
  <c r="F117" i="3"/>
  <c r="I113" i="3"/>
  <c r="E12" i="20" l="1"/>
  <c r="E12" i="23"/>
  <c r="F12" i="24"/>
  <c r="F11" i="21"/>
  <c r="F15" i="27"/>
  <c r="E16" i="26"/>
  <c r="J117" i="3"/>
  <c r="I117" i="3"/>
  <c r="J120" i="3"/>
  <c r="K120" i="3" s="1"/>
  <c r="I120" i="3"/>
  <c r="F12" i="21" l="1"/>
  <c r="F13" i="24"/>
  <c r="E13" i="23"/>
  <c r="E13" i="20"/>
  <c r="F16" i="27"/>
  <c r="E17" i="26"/>
  <c r="F112" i="2"/>
  <c r="G103" i="2"/>
  <c r="G102" i="2"/>
  <c r="G94" i="2"/>
  <c r="G93" i="2"/>
  <c r="F109" i="2"/>
  <c r="G109" i="2" s="1"/>
  <c r="F108" i="2"/>
  <c r="G108" i="2" s="1"/>
  <c r="F107" i="2"/>
  <c r="G107" i="2" s="1"/>
  <c r="F106" i="2"/>
  <c r="G106" i="2" s="1"/>
  <c r="F105" i="2"/>
  <c r="G105" i="2" s="1"/>
  <c r="F104" i="2"/>
  <c r="G104" i="2" s="1"/>
  <c r="F103" i="2"/>
  <c r="F102" i="2"/>
  <c r="F100" i="2"/>
  <c r="G100" i="2" s="1"/>
  <c r="F98" i="2"/>
  <c r="G98" i="2" s="1"/>
  <c r="F97" i="2"/>
  <c r="G97" i="2" s="1"/>
  <c r="F96" i="2"/>
  <c r="G96" i="2" s="1"/>
  <c r="F95" i="2"/>
  <c r="G95" i="2" s="1"/>
  <c r="F94" i="2"/>
  <c r="F93" i="2"/>
  <c r="F91" i="2"/>
  <c r="G91" i="2" s="1"/>
  <c r="F90" i="2"/>
  <c r="G90" i="2" s="1"/>
  <c r="F89" i="2"/>
  <c r="G89" i="2" s="1"/>
  <c r="F88" i="2"/>
  <c r="G88" i="2" s="1"/>
  <c r="F87" i="2"/>
  <c r="G87" i="2" s="1"/>
  <c r="F86" i="2"/>
  <c r="G86" i="2" s="1"/>
  <c r="D119" i="2"/>
  <c r="C119" i="2"/>
  <c r="G119" i="2" s="1"/>
  <c r="E116" i="2"/>
  <c r="G116" i="2" s="1"/>
  <c r="E112" i="2"/>
  <c r="E119" i="2" s="1"/>
  <c r="D112" i="2"/>
  <c r="D116" i="2" s="1"/>
  <c r="C112" i="2"/>
  <c r="C116" i="2" s="1"/>
  <c r="F116" i="2" s="1"/>
  <c r="AW110" i="1"/>
  <c r="AW109" i="1"/>
  <c r="AW108" i="1"/>
  <c r="AW107" i="1"/>
  <c r="AW106" i="1"/>
  <c r="AW105" i="1"/>
  <c r="AW104" i="1"/>
  <c r="AW103" i="1"/>
  <c r="AW102" i="1"/>
  <c r="AW101" i="1"/>
  <c r="AW100" i="1"/>
  <c r="AW99" i="1"/>
  <c r="AW98" i="1"/>
  <c r="AW97" i="1"/>
  <c r="AW96" i="1"/>
  <c r="AW95" i="1"/>
  <c r="AW94" i="1"/>
  <c r="AW93" i="1"/>
  <c r="AW92" i="1"/>
  <c r="AW91" i="1"/>
  <c r="AW90" i="1"/>
  <c r="AW89" i="1"/>
  <c r="AW88" i="1"/>
  <c r="AW87" i="1"/>
  <c r="AW86" i="1"/>
  <c r="AW85" i="1"/>
  <c r="AW84" i="1"/>
  <c r="AW83" i="1"/>
  <c r="AW82" i="1"/>
  <c r="AW81" i="1"/>
  <c r="AW80" i="1"/>
  <c r="AW79" i="1"/>
  <c r="AW78" i="1"/>
  <c r="AW77" i="1"/>
  <c r="AW76" i="1"/>
  <c r="AW75" i="1"/>
  <c r="AW74" i="1"/>
  <c r="AW73" i="1"/>
  <c r="AW72" i="1"/>
  <c r="AW71" i="1"/>
  <c r="AW70" i="1"/>
  <c r="AW69" i="1"/>
  <c r="AW68" i="1"/>
  <c r="AW67" i="1"/>
  <c r="AW66" i="1"/>
  <c r="AW65" i="1"/>
  <c r="AW64" i="1"/>
  <c r="AW63" i="1"/>
  <c r="AW62" i="1"/>
  <c r="AW61" i="1"/>
  <c r="AW60" i="1"/>
  <c r="AW59" i="1"/>
  <c r="AW58" i="1"/>
  <c r="AW57" i="1"/>
  <c r="AW56" i="1"/>
  <c r="AW55" i="1"/>
  <c r="AW54" i="1"/>
  <c r="AW53" i="1"/>
  <c r="AW52" i="1"/>
  <c r="AW51" i="1"/>
  <c r="E14" i="20" l="1"/>
  <c r="E14" i="23"/>
  <c r="F14" i="24"/>
  <c r="F13" i="21"/>
  <c r="F17" i="27"/>
  <c r="E18" i="26"/>
  <c r="F119" i="2"/>
  <c r="G112" i="2"/>
  <c r="B113" i="3"/>
  <c r="H119" i="2"/>
  <c r="J91" i="3"/>
  <c r="I91" i="3"/>
  <c r="F14" i="21" l="1"/>
  <c r="F15" i="24"/>
  <c r="E15" i="23"/>
  <c r="E15" i="20"/>
  <c r="F18" i="27"/>
  <c r="E19" i="26"/>
  <c r="B117" i="3"/>
  <c r="B120" i="3"/>
  <c r="E16" i="20" l="1"/>
  <c r="E16" i="23"/>
  <c r="F16" i="24"/>
  <c r="F15" i="21"/>
  <c r="F19" i="27"/>
  <c r="E20" i="26"/>
  <c r="N111" i="3"/>
  <c r="O109" i="3"/>
  <c r="N109" i="3"/>
  <c r="O97" i="3"/>
  <c r="F16" i="21" l="1"/>
  <c r="E17" i="20"/>
  <c r="F17" i="24"/>
  <c r="E17" i="23"/>
  <c r="F20" i="27"/>
  <c r="E21" i="26"/>
  <c r="B112" i="3"/>
  <c r="N97" i="3"/>
  <c r="N110" i="3" s="1"/>
  <c r="I112" i="3"/>
  <c r="I114" i="3" s="1"/>
  <c r="J112" i="3"/>
  <c r="J114" i="3" s="1"/>
  <c r="E18" i="23" l="1"/>
  <c r="E18" i="20"/>
  <c r="F18" i="24"/>
  <c r="F17" i="21"/>
  <c r="F21" i="27"/>
  <c r="E22" i="26"/>
  <c r="D111" i="3"/>
  <c r="C111" i="3"/>
  <c r="E111" i="3"/>
  <c r="B114" i="3"/>
  <c r="B116" i="3"/>
  <c r="B119" i="3"/>
  <c r="I119" i="3"/>
  <c r="J119" i="3"/>
  <c r="K119" i="3" s="1"/>
  <c r="J116" i="3"/>
  <c r="I116" i="3"/>
  <c r="H94" i="2"/>
  <c r="H88" i="2"/>
  <c r="H93" i="2"/>
  <c r="H97" i="2"/>
  <c r="H108" i="2"/>
  <c r="H103" i="2"/>
  <c r="H102" i="2"/>
  <c r="E99" i="2"/>
  <c r="E110" i="2" s="1"/>
  <c r="D99" i="2"/>
  <c r="C99" i="2"/>
  <c r="H90" i="2"/>
  <c r="H91" i="2"/>
  <c r="K97" i="2"/>
  <c r="H87" i="2"/>
  <c r="H89" i="2"/>
  <c r="B109" i="2"/>
  <c r="B108" i="2"/>
  <c r="B107" i="2"/>
  <c r="H107" i="2" s="1"/>
  <c r="B106" i="2"/>
  <c r="H106" i="2" s="1"/>
  <c r="B105" i="2"/>
  <c r="H105" i="2" s="1"/>
  <c r="B104" i="2"/>
  <c r="H104" i="2" s="1"/>
  <c r="B103" i="2"/>
  <c r="B102" i="2"/>
  <c r="B100" i="2"/>
  <c r="B99" i="2"/>
  <c r="B98" i="2"/>
  <c r="H98" i="2" s="1"/>
  <c r="B97" i="2"/>
  <c r="B96" i="2"/>
  <c r="H96" i="2" s="1"/>
  <c r="B95" i="2"/>
  <c r="H95" i="2" s="1"/>
  <c r="B93" i="2"/>
  <c r="F18" i="21" l="1"/>
  <c r="F19" i="24"/>
  <c r="E19" i="20"/>
  <c r="E19" i="23"/>
  <c r="F22" i="27"/>
  <c r="E23" i="26"/>
  <c r="C113" i="2"/>
  <c r="C117" i="2" s="1"/>
  <c r="C110" i="2"/>
  <c r="F99" i="2"/>
  <c r="G99" i="2" s="1"/>
  <c r="J109" i="2"/>
  <c r="J111" i="2"/>
  <c r="D113" i="2"/>
  <c r="D114" i="2" s="1"/>
  <c r="D110" i="2"/>
  <c r="B112" i="2"/>
  <c r="B119" i="2" s="1"/>
  <c r="H100" i="2"/>
  <c r="H109" i="2"/>
  <c r="H86" i="2"/>
  <c r="I97" i="2" s="1"/>
  <c r="J97" i="2"/>
  <c r="B116" i="2"/>
  <c r="E113" i="2"/>
  <c r="E114" i="2" s="1"/>
  <c r="AJ86" i="1"/>
  <c r="AK86" i="1" s="1"/>
  <c r="AJ98" i="1"/>
  <c r="AJ74" i="1"/>
  <c r="AL74" i="1" s="1"/>
  <c r="AJ62" i="1"/>
  <c r="AE110" i="1"/>
  <c r="AE98" i="1"/>
  <c r="AE86" i="1"/>
  <c r="AE74" i="1"/>
  <c r="AE62" i="1"/>
  <c r="AD105" i="1"/>
  <c r="AD104" i="1"/>
  <c r="AD103" i="1"/>
  <c r="AD102" i="1"/>
  <c r="AD101" i="1"/>
  <c r="AD100" i="1"/>
  <c r="AD99" i="1"/>
  <c r="AD98" i="1"/>
  <c r="AD97" i="1"/>
  <c r="AD96" i="1"/>
  <c r="AD95" i="1"/>
  <c r="AD94" i="1"/>
  <c r="AD93" i="1"/>
  <c r="AD92" i="1"/>
  <c r="AD91" i="1"/>
  <c r="AD90" i="1"/>
  <c r="AD89" i="1"/>
  <c r="AD88" i="1"/>
  <c r="AD87" i="1"/>
  <c r="AD86" i="1"/>
  <c r="AD85" i="1"/>
  <c r="AD84" i="1"/>
  <c r="AD83" i="1"/>
  <c r="AD82" i="1"/>
  <c r="AD81" i="1"/>
  <c r="AD80" i="1"/>
  <c r="AD79" i="1"/>
  <c r="AD78" i="1"/>
  <c r="AD77" i="1"/>
  <c r="AD76" i="1"/>
  <c r="AD75" i="1"/>
  <c r="AD74" i="1"/>
  <c r="AD73" i="1"/>
  <c r="AD72" i="1"/>
  <c r="AD71" i="1"/>
  <c r="AD70" i="1"/>
  <c r="AD69" i="1"/>
  <c r="AD68" i="1"/>
  <c r="AD67" i="1"/>
  <c r="AD66" i="1"/>
  <c r="AD65" i="1"/>
  <c r="AD64" i="1"/>
  <c r="AD63" i="1"/>
  <c r="AD62" i="1"/>
  <c r="AD61" i="1"/>
  <c r="AD60" i="1"/>
  <c r="AD59" i="1"/>
  <c r="AD58" i="1"/>
  <c r="AD57" i="1"/>
  <c r="AD56" i="1"/>
  <c r="AD55" i="1"/>
  <c r="AD54" i="1"/>
  <c r="AD53" i="1"/>
  <c r="AD52" i="1"/>
  <c r="AD51" i="1"/>
  <c r="AS98" i="1"/>
  <c r="AU98" i="1" s="1"/>
  <c r="AS86" i="1"/>
  <c r="AS74" i="1"/>
  <c r="AU74" i="1" s="1"/>
  <c r="AS62" i="1"/>
  <c r="AU62" i="1" s="1"/>
  <c r="AP110" i="1"/>
  <c r="AN98" i="1"/>
  <c r="AN86" i="1"/>
  <c r="AP86" i="1" s="1"/>
  <c r="AN74" i="1"/>
  <c r="AP74" i="1" s="1"/>
  <c r="AN62" i="1"/>
  <c r="AR61" i="1" s="1"/>
  <c r="G111" i="1"/>
  <c r="F111" i="1"/>
  <c r="G105" i="1"/>
  <c r="F105" i="1"/>
  <c r="G104" i="1"/>
  <c r="F104" i="1"/>
  <c r="G103" i="1"/>
  <c r="F103" i="1"/>
  <c r="G102" i="1"/>
  <c r="F102" i="1"/>
  <c r="G101" i="1"/>
  <c r="F101" i="1"/>
  <c r="G100" i="1"/>
  <c r="F100" i="1"/>
  <c r="G99" i="1"/>
  <c r="F99" i="1"/>
  <c r="G98" i="1"/>
  <c r="F98" i="1"/>
  <c r="G97" i="1"/>
  <c r="F97" i="1"/>
  <c r="G96" i="1"/>
  <c r="F96" i="1"/>
  <c r="G95" i="1"/>
  <c r="F95" i="1"/>
  <c r="G94" i="1"/>
  <c r="F94" i="1"/>
  <c r="G93" i="1"/>
  <c r="F93" i="1"/>
  <c r="G92" i="1"/>
  <c r="F92" i="1"/>
  <c r="G91" i="1"/>
  <c r="F91" i="1"/>
  <c r="G90" i="1"/>
  <c r="F90" i="1"/>
  <c r="G89" i="1"/>
  <c r="F89" i="1"/>
  <c r="G88" i="1"/>
  <c r="F88" i="1"/>
  <c r="G87" i="1"/>
  <c r="F87" i="1"/>
  <c r="G86" i="1"/>
  <c r="F86" i="1"/>
  <c r="G85" i="1"/>
  <c r="F85" i="1"/>
  <c r="G84" i="1"/>
  <c r="F84" i="1"/>
  <c r="G83" i="1"/>
  <c r="F83" i="1"/>
  <c r="G82" i="1"/>
  <c r="F82" i="1"/>
  <c r="G81" i="1"/>
  <c r="F81" i="1"/>
  <c r="G80" i="1"/>
  <c r="F80" i="1"/>
  <c r="G79" i="1"/>
  <c r="F79" i="1"/>
  <c r="G78" i="1"/>
  <c r="F78" i="1"/>
  <c r="G77" i="1"/>
  <c r="F77" i="1"/>
  <c r="G76" i="1"/>
  <c r="F76" i="1"/>
  <c r="G75" i="1"/>
  <c r="F75" i="1"/>
  <c r="G74" i="1"/>
  <c r="F74" i="1"/>
  <c r="G73" i="1"/>
  <c r="F73" i="1"/>
  <c r="G72" i="1"/>
  <c r="F72" i="1"/>
  <c r="G71" i="1"/>
  <c r="F71" i="1"/>
  <c r="G70" i="1"/>
  <c r="F70" i="1"/>
  <c r="G69" i="1"/>
  <c r="F69" i="1"/>
  <c r="G68" i="1"/>
  <c r="F68" i="1"/>
  <c r="G67" i="1"/>
  <c r="F67" i="1"/>
  <c r="G66" i="1"/>
  <c r="F66" i="1"/>
  <c r="G65" i="1"/>
  <c r="F65" i="1"/>
  <c r="G64" i="1"/>
  <c r="F64" i="1"/>
  <c r="G63" i="1"/>
  <c r="F63" i="1"/>
  <c r="G62" i="1"/>
  <c r="F62" i="1"/>
  <c r="G61" i="1"/>
  <c r="F61" i="1"/>
  <c r="G60" i="1"/>
  <c r="F60" i="1"/>
  <c r="G59" i="1"/>
  <c r="F59" i="1"/>
  <c r="G58" i="1"/>
  <c r="F58" i="1"/>
  <c r="G57" i="1"/>
  <c r="F57" i="1"/>
  <c r="G56" i="1"/>
  <c r="F56" i="1"/>
  <c r="G55" i="1"/>
  <c r="F55" i="1"/>
  <c r="G54" i="1"/>
  <c r="F54" i="1"/>
  <c r="G53" i="1"/>
  <c r="F53" i="1"/>
  <c r="G52" i="1"/>
  <c r="F52" i="1"/>
  <c r="G51" i="1"/>
  <c r="F51" i="1"/>
  <c r="G50" i="1"/>
  <c r="F50" i="1"/>
  <c r="G49" i="1"/>
  <c r="F49" i="1"/>
  <c r="G48" i="1"/>
  <c r="F48" i="1"/>
  <c r="G47" i="1"/>
  <c r="F47" i="1"/>
  <c r="G46" i="1"/>
  <c r="F46" i="1"/>
  <c r="G45" i="1"/>
  <c r="F45" i="1"/>
  <c r="G44" i="1"/>
  <c r="F44" i="1"/>
  <c r="G43" i="1"/>
  <c r="F43" i="1"/>
  <c r="G42" i="1"/>
  <c r="F42" i="1"/>
  <c r="G41" i="1"/>
  <c r="F41" i="1"/>
  <c r="G40" i="1"/>
  <c r="F40" i="1"/>
  <c r="G39" i="1"/>
  <c r="F39" i="1"/>
  <c r="G38" i="1"/>
  <c r="F38" i="1"/>
  <c r="G37" i="1"/>
  <c r="F37" i="1"/>
  <c r="G36" i="1"/>
  <c r="F36" i="1"/>
  <c r="G35" i="1"/>
  <c r="F35" i="1"/>
  <c r="G34" i="1"/>
  <c r="F34" i="1"/>
  <c r="G33" i="1"/>
  <c r="F33" i="1"/>
  <c r="G32" i="1"/>
  <c r="F32" i="1"/>
  <c r="G31" i="1"/>
  <c r="F31" i="1"/>
  <c r="G30" i="1"/>
  <c r="F30" i="1"/>
  <c r="G29" i="1"/>
  <c r="F29" i="1"/>
  <c r="G28" i="1"/>
  <c r="F28" i="1"/>
  <c r="G27" i="1"/>
  <c r="F27" i="1"/>
  <c r="G26" i="1"/>
  <c r="F26" i="1"/>
  <c r="G25" i="1"/>
  <c r="F25" i="1"/>
  <c r="G24" i="1"/>
  <c r="F24" i="1"/>
  <c r="G23" i="1"/>
  <c r="F23" i="1"/>
  <c r="G22" i="1"/>
  <c r="F22" i="1"/>
  <c r="G21" i="1"/>
  <c r="F21" i="1"/>
  <c r="G20" i="1"/>
  <c r="F20" i="1"/>
  <c r="G19" i="1"/>
  <c r="F19" i="1"/>
  <c r="G18" i="1"/>
  <c r="F18" i="1"/>
  <c r="G17" i="1"/>
  <c r="F17" i="1"/>
  <c r="G16" i="1"/>
  <c r="F16" i="1"/>
  <c r="G15" i="1"/>
  <c r="F15" i="1"/>
  <c r="G14" i="1"/>
  <c r="F14" i="1"/>
  <c r="G13" i="1"/>
  <c r="F13" i="1"/>
  <c r="G12" i="1"/>
  <c r="F12" i="1"/>
  <c r="G11" i="1"/>
  <c r="F11" i="1"/>
  <c r="G10" i="1"/>
  <c r="F10" i="1"/>
  <c r="G9" i="1"/>
  <c r="F9" i="1"/>
  <c r="G8" i="1"/>
  <c r="F8" i="1"/>
  <c r="G7" i="1"/>
  <c r="F7" i="1"/>
  <c r="G6" i="1"/>
  <c r="F6" i="1"/>
  <c r="G5" i="1"/>
  <c r="F5" i="1"/>
  <c r="G4" i="1"/>
  <c r="F4" i="1"/>
  <c r="G3" i="1"/>
  <c r="F3" i="1"/>
  <c r="X105" i="1"/>
  <c r="X104" i="1"/>
  <c r="X103" i="1"/>
  <c r="X102" i="1"/>
  <c r="X101" i="1"/>
  <c r="X100" i="1"/>
  <c r="X99" i="1"/>
  <c r="X98" i="1"/>
  <c r="X97" i="1"/>
  <c r="X96" i="1"/>
  <c r="X95" i="1"/>
  <c r="X94" i="1"/>
  <c r="X93" i="1"/>
  <c r="X92" i="1"/>
  <c r="X91" i="1"/>
  <c r="X90" i="1"/>
  <c r="X89" i="1"/>
  <c r="X88" i="1"/>
  <c r="X87" i="1"/>
  <c r="X86" i="1"/>
  <c r="X85" i="1"/>
  <c r="X84" i="1"/>
  <c r="X83" i="1"/>
  <c r="X82" i="1"/>
  <c r="X81" i="1"/>
  <c r="X80" i="1"/>
  <c r="X79" i="1"/>
  <c r="X78" i="1"/>
  <c r="X77" i="1"/>
  <c r="X76" i="1"/>
  <c r="X75" i="1"/>
  <c r="X74" i="1"/>
  <c r="X73" i="1"/>
  <c r="X72" i="1"/>
  <c r="X71" i="1"/>
  <c r="X70" i="1"/>
  <c r="X69" i="1"/>
  <c r="X68" i="1"/>
  <c r="X67" i="1"/>
  <c r="X66" i="1"/>
  <c r="X65" i="1"/>
  <c r="X64" i="1"/>
  <c r="X63" i="1"/>
  <c r="X62" i="1"/>
  <c r="X61" i="1"/>
  <c r="X60" i="1"/>
  <c r="X59" i="1"/>
  <c r="X58" i="1"/>
  <c r="X57" i="1"/>
  <c r="X56" i="1"/>
  <c r="X55" i="1"/>
  <c r="X54" i="1"/>
  <c r="X53" i="1"/>
  <c r="X52" i="1"/>
  <c r="X51" i="1"/>
  <c r="P111" i="1"/>
  <c r="O111" i="1"/>
  <c r="N111" i="1"/>
  <c r="M111" i="1"/>
  <c r="J110" i="2" l="1"/>
  <c r="E20" i="23"/>
  <c r="E20" i="20"/>
  <c r="F20" i="24"/>
  <c r="F19" i="21"/>
  <c r="F23" i="27"/>
  <c r="E24" i="26"/>
  <c r="G110" i="2"/>
  <c r="C120" i="2"/>
  <c r="AW111" i="1"/>
  <c r="D117" i="2"/>
  <c r="D120" i="2"/>
  <c r="F120" i="2"/>
  <c r="AP98" i="1"/>
  <c r="AU118" i="1" s="1"/>
  <c r="AT118" i="1" s="1"/>
  <c r="AS118" i="1" s="1"/>
  <c r="AN111" i="1"/>
  <c r="B114" i="2"/>
  <c r="B7" i="43" s="1"/>
  <c r="C114" i="2"/>
  <c r="F113" i="2"/>
  <c r="F114" i="2" s="1"/>
  <c r="G113" i="2"/>
  <c r="G114" i="2" s="1"/>
  <c r="H99" i="2"/>
  <c r="K109" i="2"/>
  <c r="E120" i="2"/>
  <c r="E117" i="2"/>
  <c r="F117" i="2" s="1"/>
  <c r="B120" i="2"/>
  <c r="B11" i="43" s="1"/>
  <c r="B117" i="2"/>
  <c r="B9" i="43" s="1"/>
  <c r="AR99" i="1"/>
  <c r="AR103" i="1"/>
  <c r="AR110" i="1"/>
  <c r="AR54" i="1"/>
  <c r="AR55" i="1"/>
  <c r="AK74" i="1"/>
  <c r="AR59" i="1"/>
  <c r="AR87" i="1"/>
  <c r="I98" i="1"/>
  <c r="AR95" i="1"/>
  <c r="AR56" i="1"/>
  <c r="AR63" i="1"/>
  <c r="AR102" i="1"/>
  <c r="AR64" i="1"/>
  <c r="AR62" i="1"/>
  <c r="AR104" i="1"/>
  <c r="AR72" i="1"/>
  <c r="AR71" i="1"/>
  <c r="AR107" i="1"/>
  <c r="AR51" i="1"/>
  <c r="AR88" i="1"/>
  <c r="AR96" i="1"/>
  <c r="AR105" i="1"/>
  <c r="AR89" i="1"/>
  <c r="AR97" i="1"/>
  <c r="AR81" i="1"/>
  <c r="AR65" i="1"/>
  <c r="AR73" i="1"/>
  <c r="AR57" i="1"/>
  <c r="AR80" i="1"/>
  <c r="AR106" i="1"/>
  <c r="AR90" i="1"/>
  <c r="AR98" i="1"/>
  <c r="AR82" i="1"/>
  <c r="AR66" i="1"/>
  <c r="AR74" i="1"/>
  <c r="AR58" i="1"/>
  <c r="AR79" i="1"/>
  <c r="AR91" i="1"/>
  <c r="AR75" i="1"/>
  <c r="AR83" i="1"/>
  <c r="AR67" i="1"/>
  <c r="AR100" i="1"/>
  <c r="AR108" i="1"/>
  <c r="AR92" i="1"/>
  <c r="AR76" i="1"/>
  <c r="AR84" i="1"/>
  <c r="AR68" i="1"/>
  <c r="AR52" i="1"/>
  <c r="AR60" i="1"/>
  <c r="AL62" i="1"/>
  <c r="AL86" i="1"/>
  <c r="AR101" i="1"/>
  <c r="AR109" i="1"/>
  <c r="AR93" i="1"/>
  <c r="AR77" i="1"/>
  <c r="AR85" i="1"/>
  <c r="AR69" i="1"/>
  <c r="AR53" i="1"/>
  <c r="AR94" i="1"/>
  <c r="AR78" i="1"/>
  <c r="AR86" i="1"/>
  <c r="AR70" i="1"/>
  <c r="AK98" i="1"/>
  <c r="AL98" i="1"/>
  <c r="AK62" i="1"/>
  <c r="AF110" i="1"/>
  <c r="AG110" i="1"/>
  <c r="AF98" i="1"/>
  <c r="AG98" i="1"/>
  <c r="AF86" i="1"/>
  <c r="AG86" i="1"/>
  <c r="AG74" i="1"/>
  <c r="AF74" i="1"/>
  <c r="AF62" i="1"/>
  <c r="AG62" i="1"/>
  <c r="I14" i="1"/>
  <c r="H26" i="1"/>
  <c r="J26" i="1" s="1"/>
  <c r="I38" i="1"/>
  <c r="I50" i="1"/>
  <c r="I62" i="1"/>
  <c r="I74" i="1"/>
  <c r="I86" i="1"/>
  <c r="H98" i="1"/>
  <c r="J98" i="1" s="1"/>
  <c r="I26" i="1"/>
  <c r="AO62" i="1"/>
  <c r="Q111" i="1"/>
  <c r="AQ111" i="1" s="1"/>
  <c r="AP62" i="1"/>
  <c r="AU86" i="1"/>
  <c r="AT74" i="1"/>
  <c r="AT98" i="1"/>
  <c r="AT86" i="1"/>
  <c r="AT62" i="1"/>
  <c r="AO110" i="1"/>
  <c r="AO98" i="1"/>
  <c r="AO86" i="1"/>
  <c r="AO74" i="1"/>
  <c r="H14" i="1"/>
  <c r="J14" i="1" s="1"/>
  <c r="H62" i="1"/>
  <c r="J62" i="1" s="1"/>
  <c r="H38" i="1"/>
  <c r="J38" i="1" s="1"/>
  <c r="H86" i="1"/>
  <c r="J86" i="1" s="1"/>
  <c r="H50" i="1"/>
  <c r="J50" i="1" s="1"/>
  <c r="X111" i="1"/>
  <c r="H74" i="1"/>
  <c r="J74" i="1" s="1"/>
  <c r="R111" i="1"/>
  <c r="R37" i="1"/>
  <c r="Q37" i="1"/>
  <c r="R36" i="1"/>
  <c r="Q36" i="1"/>
  <c r="R35" i="1"/>
  <c r="Q35" i="1"/>
  <c r="R34" i="1"/>
  <c r="Q34" i="1"/>
  <c r="R33" i="1"/>
  <c r="Q33" i="1"/>
  <c r="R32" i="1"/>
  <c r="Q32" i="1"/>
  <c r="R31" i="1"/>
  <c r="Q31" i="1"/>
  <c r="R30" i="1"/>
  <c r="Q30" i="1"/>
  <c r="R29" i="1"/>
  <c r="Q29" i="1"/>
  <c r="R28" i="1"/>
  <c r="Q28" i="1"/>
  <c r="R27" i="1"/>
  <c r="Q27" i="1"/>
  <c r="R26" i="1"/>
  <c r="Q26" i="1"/>
  <c r="R25" i="1"/>
  <c r="Q25" i="1"/>
  <c r="R24" i="1"/>
  <c r="Q24" i="1"/>
  <c r="R23" i="1"/>
  <c r="Q23" i="1"/>
  <c r="R22" i="1"/>
  <c r="Q22" i="1"/>
  <c r="R21" i="1"/>
  <c r="Q21" i="1"/>
  <c r="R20" i="1"/>
  <c r="Q20" i="1"/>
  <c r="R19" i="1"/>
  <c r="Q19" i="1"/>
  <c r="R18" i="1"/>
  <c r="Q18" i="1"/>
  <c r="R17" i="1"/>
  <c r="Q17" i="1"/>
  <c r="R16" i="1"/>
  <c r="Q16" i="1"/>
  <c r="R15" i="1"/>
  <c r="Q15" i="1"/>
  <c r="R14" i="1"/>
  <c r="Q14" i="1"/>
  <c r="R13" i="1"/>
  <c r="Q13" i="1"/>
  <c r="R12" i="1"/>
  <c r="Q12" i="1"/>
  <c r="R11" i="1"/>
  <c r="Q11" i="1"/>
  <c r="R10" i="1"/>
  <c r="Q10" i="1"/>
  <c r="R9" i="1"/>
  <c r="Q9" i="1"/>
  <c r="R8" i="1"/>
  <c r="Q8" i="1"/>
  <c r="R7" i="1"/>
  <c r="Q7" i="1"/>
  <c r="R6" i="1"/>
  <c r="Q6" i="1"/>
  <c r="R5" i="1"/>
  <c r="Q5" i="1"/>
  <c r="R4" i="1"/>
  <c r="Q4" i="1"/>
  <c r="Q3" i="1"/>
  <c r="R38" i="1"/>
  <c r="Q38" i="1"/>
  <c r="O39" i="1"/>
  <c r="O40" i="1"/>
  <c r="M40" i="1" s="1"/>
  <c r="O41" i="1"/>
  <c r="M41" i="1" s="1"/>
  <c r="O42" i="1"/>
  <c r="M42" i="1" s="1"/>
  <c r="O43" i="1"/>
  <c r="M43" i="1" s="1"/>
  <c r="O44" i="1"/>
  <c r="M44" i="1" s="1"/>
  <c r="O45" i="1"/>
  <c r="M45" i="1" s="1"/>
  <c r="O46" i="1"/>
  <c r="O47" i="1"/>
  <c r="O48" i="1"/>
  <c r="O49" i="1"/>
  <c r="O50" i="1"/>
  <c r="O110" i="1"/>
  <c r="O109" i="1"/>
  <c r="O108" i="1"/>
  <c r="O107" i="1"/>
  <c r="O106" i="1"/>
  <c r="C12" i="11" s="1"/>
  <c r="P50" i="1"/>
  <c r="P49" i="1"/>
  <c r="P48" i="1"/>
  <c r="P47" i="1"/>
  <c r="P46" i="1"/>
  <c r="P45" i="1"/>
  <c r="N45" i="1" s="1"/>
  <c r="AW45" i="1" s="1"/>
  <c r="P44" i="1"/>
  <c r="N44" i="1" s="1"/>
  <c r="AW44" i="1" s="1"/>
  <c r="P43" i="1"/>
  <c r="N43" i="1" s="1"/>
  <c r="P42" i="1"/>
  <c r="N42" i="1" s="1"/>
  <c r="AW42" i="1" s="1"/>
  <c r="P41" i="1"/>
  <c r="N41" i="1" s="1"/>
  <c r="AW41" i="1" s="1"/>
  <c r="P40" i="1"/>
  <c r="AW40" i="1" s="1"/>
  <c r="P39" i="1"/>
  <c r="F20" i="21" l="1"/>
  <c r="F21" i="24"/>
  <c r="E21" i="23"/>
  <c r="E21" i="20"/>
  <c r="F24" i="27"/>
  <c r="E25" i="26"/>
  <c r="G117" i="2"/>
  <c r="G120" i="2"/>
  <c r="H120" i="2" s="1"/>
  <c r="AD108" i="1"/>
  <c r="C14" i="11"/>
  <c r="D14" i="11" s="1"/>
  <c r="AD107" i="1"/>
  <c r="C13" i="11"/>
  <c r="D13" i="11" s="1"/>
  <c r="AD109" i="1"/>
  <c r="C15" i="11"/>
  <c r="D15" i="11" s="1"/>
  <c r="AD110" i="1"/>
  <c r="C16" i="11"/>
  <c r="D16" i="11" s="1"/>
  <c r="AW43" i="1"/>
  <c r="D12" i="11"/>
  <c r="I109" i="2"/>
  <c r="I110" i="2"/>
  <c r="M50" i="1"/>
  <c r="AD50" i="1" s="1"/>
  <c r="M48" i="1"/>
  <c r="AD48" i="1" s="1"/>
  <c r="M49" i="1"/>
  <c r="AD41" i="1"/>
  <c r="R41" i="1"/>
  <c r="Q42" i="1"/>
  <c r="AD40" i="1"/>
  <c r="R40" i="1"/>
  <c r="Q43" i="1"/>
  <c r="AJ110" i="1"/>
  <c r="AD106" i="1"/>
  <c r="M46" i="1" s="1"/>
  <c r="M47" i="1"/>
  <c r="M39" i="1"/>
  <c r="AJ50" i="1"/>
  <c r="Q44" i="1"/>
  <c r="Q45" i="1"/>
  <c r="AD45" i="1"/>
  <c r="R45" i="1"/>
  <c r="K74" i="1"/>
  <c r="AD44" i="1"/>
  <c r="R44" i="1"/>
  <c r="Q40" i="1"/>
  <c r="AD43" i="1"/>
  <c r="R43" i="1"/>
  <c r="K50" i="1"/>
  <c r="AD42" i="1"/>
  <c r="R42" i="1"/>
  <c r="AS50" i="1"/>
  <c r="AS113" i="1" s="1"/>
  <c r="K26" i="1"/>
  <c r="K38" i="1"/>
  <c r="K86" i="1"/>
  <c r="K62" i="1"/>
  <c r="K98" i="1"/>
  <c r="P110" i="1"/>
  <c r="P109" i="1"/>
  <c r="P108" i="1"/>
  <c r="P107" i="1"/>
  <c r="P106" i="1"/>
  <c r="C12" i="9" s="1"/>
  <c r="R110" i="1"/>
  <c r="R109" i="1"/>
  <c r="R108" i="1"/>
  <c r="R107" i="1"/>
  <c r="R106" i="1"/>
  <c r="E110" i="1"/>
  <c r="F110" i="1" s="1"/>
  <c r="D110" i="1"/>
  <c r="G110" i="1" s="1"/>
  <c r="E109" i="1"/>
  <c r="F109" i="1" s="1"/>
  <c r="D109" i="1"/>
  <c r="G109" i="1" s="1"/>
  <c r="E108" i="1"/>
  <c r="F108" i="1" s="1"/>
  <c r="D108" i="1"/>
  <c r="G108" i="1" s="1"/>
  <c r="E107" i="1"/>
  <c r="F107" i="1" s="1"/>
  <c r="D107" i="1"/>
  <c r="G107" i="1" s="1"/>
  <c r="E106" i="1"/>
  <c r="F106" i="1" s="1"/>
  <c r="D106" i="1"/>
  <c r="G106" i="1" s="1"/>
  <c r="E22" i="20" l="1"/>
  <c r="F21" i="21"/>
  <c r="E22" i="23"/>
  <c r="F22" i="24"/>
  <c r="F25" i="27"/>
  <c r="E26" i="26"/>
  <c r="D12" i="9"/>
  <c r="X107" i="1"/>
  <c r="N47" i="1" s="1"/>
  <c r="AW47" i="1" s="1"/>
  <c r="C13" i="9"/>
  <c r="D13" i="9" s="1"/>
  <c r="X108" i="1"/>
  <c r="N48" i="1" s="1"/>
  <c r="AW48" i="1" s="1"/>
  <c r="C14" i="9"/>
  <c r="D14" i="9" s="1"/>
  <c r="C17" i="11"/>
  <c r="X109" i="1"/>
  <c r="N49" i="1" s="1"/>
  <c r="AW49" i="1" s="1"/>
  <c r="C15" i="9"/>
  <c r="D15" i="9" s="1"/>
  <c r="D17" i="11"/>
  <c r="X110" i="1"/>
  <c r="N50" i="1" s="1"/>
  <c r="AW50" i="1" s="1"/>
  <c r="C16" i="9"/>
  <c r="D16" i="9" s="1"/>
  <c r="AW39" i="1"/>
  <c r="AU113" i="1"/>
  <c r="AT113" i="1"/>
  <c r="R48" i="1"/>
  <c r="AK110" i="1"/>
  <c r="AL110" i="1"/>
  <c r="AD46" i="1"/>
  <c r="R46" i="1"/>
  <c r="AD47" i="1"/>
  <c r="R47" i="1"/>
  <c r="AS110" i="1"/>
  <c r="AD49" i="1"/>
  <c r="R49" i="1"/>
  <c r="Q47" i="1"/>
  <c r="AL50" i="1"/>
  <c r="AJ113" i="1"/>
  <c r="AK50" i="1"/>
  <c r="AD39" i="1"/>
  <c r="AE50" i="1"/>
  <c r="AU50" i="1"/>
  <c r="AT50" i="1"/>
  <c r="Q107" i="1"/>
  <c r="Q108" i="1"/>
  <c r="Q110" i="1"/>
  <c r="Q106" i="1"/>
  <c r="X106" i="1"/>
  <c r="N46" i="1" s="1"/>
  <c r="AW46" i="1" s="1"/>
  <c r="Q109" i="1"/>
  <c r="H110" i="1"/>
  <c r="J110" i="1" s="1"/>
  <c r="K110" i="1" s="1"/>
  <c r="I110" i="1"/>
  <c r="F23" i="24" l="1"/>
  <c r="E23" i="23"/>
  <c r="F22" i="21"/>
  <c r="E23" i="20"/>
  <c r="F26" i="27"/>
  <c r="E27" i="26"/>
  <c r="Q49" i="1"/>
  <c r="C19" i="11"/>
  <c r="C18" i="11"/>
  <c r="Q48" i="1"/>
  <c r="D19" i="11"/>
  <c r="D18" i="11"/>
  <c r="AT110" i="1"/>
  <c r="AT114" i="1" s="1"/>
  <c r="AS111" i="1"/>
  <c r="Q50" i="1"/>
  <c r="C17" i="9"/>
  <c r="D17" i="9"/>
  <c r="AU110" i="1"/>
  <c r="AI48" i="1"/>
  <c r="AE113" i="1"/>
  <c r="AI40" i="1"/>
  <c r="AI41" i="1"/>
  <c r="AI47" i="1"/>
  <c r="AI49" i="1"/>
  <c r="AI45" i="1"/>
  <c r="AI46" i="1"/>
  <c r="AI50" i="1"/>
  <c r="AI43" i="1"/>
  <c r="AI39" i="1"/>
  <c r="AF50" i="1"/>
  <c r="AI44" i="1"/>
  <c r="AG50" i="1"/>
  <c r="AI42" i="1"/>
  <c r="AL113" i="1"/>
  <c r="AK113" i="1"/>
  <c r="AU114" i="1"/>
  <c r="Q46" i="1"/>
  <c r="AN50" i="1"/>
  <c r="AN113" i="1" s="1"/>
  <c r="R105" i="1"/>
  <c r="Q105" i="1"/>
  <c r="R104" i="1"/>
  <c r="Q104" i="1"/>
  <c r="R103" i="1"/>
  <c r="Q103" i="1"/>
  <c r="R102" i="1"/>
  <c r="Q102" i="1"/>
  <c r="R101" i="1"/>
  <c r="Q101" i="1"/>
  <c r="R100" i="1"/>
  <c r="Q100" i="1"/>
  <c r="R99" i="1"/>
  <c r="Q99" i="1"/>
  <c r="R98" i="1"/>
  <c r="Q98" i="1"/>
  <c r="R97" i="1"/>
  <c r="Q97" i="1"/>
  <c r="R96" i="1"/>
  <c r="Q96" i="1"/>
  <c r="R95" i="1"/>
  <c r="Q95" i="1"/>
  <c r="R94" i="1"/>
  <c r="Q94" i="1"/>
  <c r="R93" i="1"/>
  <c r="Q93" i="1"/>
  <c r="R92" i="1"/>
  <c r="Q92" i="1"/>
  <c r="R91" i="1"/>
  <c r="Q91" i="1"/>
  <c r="R90" i="1"/>
  <c r="Q90" i="1"/>
  <c r="R89" i="1"/>
  <c r="Q89" i="1"/>
  <c r="R88" i="1"/>
  <c r="Q88" i="1"/>
  <c r="R87" i="1"/>
  <c r="Q87" i="1"/>
  <c r="R86" i="1"/>
  <c r="Q86" i="1"/>
  <c r="R85" i="1"/>
  <c r="Q85" i="1"/>
  <c r="R84" i="1"/>
  <c r="Q84" i="1"/>
  <c r="Q83" i="1"/>
  <c r="R82" i="1"/>
  <c r="Q82" i="1"/>
  <c r="R81" i="1"/>
  <c r="Q81" i="1"/>
  <c r="R80" i="1"/>
  <c r="Q80" i="1"/>
  <c r="R79" i="1"/>
  <c r="Q79" i="1"/>
  <c r="R78" i="1"/>
  <c r="Q78" i="1"/>
  <c r="R77" i="1"/>
  <c r="Q77" i="1"/>
  <c r="R76" i="1"/>
  <c r="Q76" i="1"/>
  <c r="R75" i="1"/>
  <c r="Q75" i="1"/>
  <c r="R74" i="1"/>
  <c r="Q74" i="1"/>
  <c r="R73" i="1"/>
  <c r="Q73" i="1"/>
  <c r="R72" i="1"/>
  <c r="Q72" i="1"/>
  <c r="R71" i="1"/>
  <c r="Q71" i="1"/>
  <c r="R70" i="1"/>
  <c r="Q70" i="1"/>
  <c r="R69" i="1"/>
  <c r="Q69" i="1"/>
  <c r="R68" i="1"/>
  <c r="Q68" i="1"/>
  <c r="R67" i="1"/>
  <c r="Q67" i="1"/>
  <c r="R66" i="1"/>
  <c r="Q66" i="1"/>
  <c r="R65" i="1"/>
  <c r="Q65" i="1"/>
  <c r="R64" i="1"/>
  <c r="Q64" i="1"/>
  <c r="R63" i="1"/>
  <c r="Q63" i="1"/>
  <c r="R62" i="1"/>
  <c r="Q62" i="1"/>
  <c r="R61" i="1"/>
  <c r="Q61" i="1"/>
  <c r="R60" i="1"/>
  <c r="Q60" i="1"/>
  <c r="R59" i="1"/>
  <c r="Q59" i="1"/>
  <c r="R58" i="1"/>
  <c r="Q58" i="1"/>
  <c r="R57" i="1"/>
  <c r="Q57" i="1"/>
  <c r="R56" i="1"/>
  <c r="Q56" i="1"/>
  <c r="R55" i="1"/>
  <c r="Q55" i="1"/>
  <c r="R54" i="1"/>
  <c r="Q54" i="1"/>
  <c r="R53" i="1"/>
  <c r="Q53" i="1"/>
  <c r="R52" i="1"/>
  <c r="Q52" i="1"/>
  <c r="R51" i="1"/>
  <c r="Q51" i="1"/>
  <c r="D5" i="18" l="1"/>
  <c r="D5" i="17"/>
  <c r="F23" i="21"/>
  <c r="E24" i="20"/>
  <c r="E24" i="23"/>
  <c r="F24" i="24"/>
  <c r="F27" i="27"/>
  <c r="E28" i="26"/>
  <c r="D19" i="9"/>
  <c r="D18" i="9"/>
  <c r="C19" i="9"/>
  <c r="C18" i="9"/>
  <c r="AR46" i="1"/>
  <c r="Y100" i="1"/>
  <c r="AC41" i="1"/>
  <c r="AC50" i="1"/>
  <c r="AC40" i="1"/>
  <c r="AC45" i="1"/>
  <c r="AC43" i="1"/>
  <c r="AC44" i="1"/>
  <c r="AC42" i="1"/>
  <c r="Y109" i="1"/>
  <c r="Y101" i="1"/>
  <c r="Y105" i="1"/>
  <c r="AP113" i="1"/>
  <c r="AO113" i="1"/>
  <c r="AC46" i="1"/>
  <c r="Y104" i="1"/>
  <c r="Y106" i="1"/>
  <c r="Y102" i="1"/>
  <c r="AC48" i="1"/>
  <c r="AC47" i="1"/>
  <c r="Y98" i="1"/>
  <c r="AC90" i="1" s="1"/>
  <c r="Y107" i="1"/>
  <c r="Y99" i="1"/>
  <c r="Y110" i="1"/>
  <c r="AC99" i="1" s="1"/>
  <c r="Y111" i="1"/>
  <c r="Y103" i="1"/>
  <c r="AH50" i="1"/>
  <c r="AC39" i="1"/>
  <c r="Y108" i="1"/>
  <c r="Y62" i="1"/>
  <c r="AC53" i="1" s="1"/>
  <c r="Y74" i="1"/>
  <c r="AC72" i="1" s="1"/>
  <c r="AC63" i="1"/>
  <c r="Y86" i="1"/>
  <c r="AC84" i="1" s="1"/>
  <c r="AC49" i="1"/>
  <c r="AH98" i="1"/>
  <c r="Z98" i="1"/>
  <c r="S108" i="1"/>
  <c r="S107" i="1"/>
  <c r="AM50" i="1"/>
  <c r="AA50" i="1"/>
  <c r="D6" i="46" s="1"/>
  <c r="T93" i="1"/>
  <c r="S109" i="1"/>
  <c r="AG113" i="1"/>
  <c r="AF113" i="1"/>
  <c r="Z74" i="1"/>
  <c r="S106" i="1"/>
  <c r="AR45" i="1"/>
  <c r="AR41" i="1"/>
  <c r="AR43" i="1"/>
  <c r="AR42" i="1"/>
  <c r="AR44" i="1"/>
  <c r="AR49" i="1"/>
  <c r="AR50" i="1"/>
  <c r="AR48" i="1"/>
  <c r="AR47" i="1"/>
  <c r="R116" i="1"/>
  <c r="R118" i="1"/>
  <c r="S101" i="1"/>
  <c r="AO50" i="1"/>
  <c r="AO114" i="1" s="1"/>
  <c r="AO115" i="1" s="1"/>
  <c r="AP50" i="1"/>
  <c r="AP114" i="1" s="1"/>
  <c r="AP115" i="1" s="1"/>
  <c r="R114" i="1"/>
  <c r="S100" i="1"/>
  <c r="S104" i="1"/>
  <c r="S105" i="1"/>
  <c r="T105" i="1"/>
  <c r="S102" i="1"/>
  <c r="T50" i="1"/>
  <c r="T62" i="1"/>
  <c r="S62" i="1"/>
  <c r="T74" i="1"/>
  <c r="S74" i="1"/>
  <c r="S86" i="1"/>
  <c r="T98" i="1"/>
  <c r="S98" i="1"/>
  <c r="S111" i="1"/>
  <c r="T110" i="1"/>
  <c r="S110" i="1"/>
  <c r="S103" i="1"/>
  <c r="R115" i="1"/>
  <c r="R117" i="1"/>
  <c r="D6" i="16" l="1"/>
  <c r="E5" i="16"/>
  <c r="D6" i="17"/>
  <c r="E5" i="17"/>
  <c r="D6" i="18"/>
  <c r="E6" i="18" s="1"/>
  <c r="E5" i="18"/>
  <c r="F25" i="24"/>
  <c r="F24" i="21"/>
  <c r="E25" i="20"/>
  <c r="E25" i="23"/>
  <c r="F28" i="27"/>
  <c r="E29" i="26"/>
  <c r="W67" i="1"/>
  <c r="B8" i="14"/>
  <c r="AX74" i="1"/>
  <c r="W103" i="1"/>
  <c r="B11" i="14"/>
  <c r="AX110" i="1"/>
  <c r="Z86" i="1"/>
  <c r="W55" i="1"/>
  <c r="B7" i="14"/>
  <c r="AX62" i="1"/>
  <c r="AY62" i="1" s="1"/>
  <c r="V111" i="1"/>
  <c r="B10" i="14"/>
  <c r="W127" i="1"/>
  <c r="X127" i="1" s="1"/>
  <c r="W126" i="1"/>
  <c r="X126" i="1" s="1"/>
  <c r="AX98" i="1"/>
  <c r="B6" i="14"/>
  <c r="AX50" i="1"/>
  <c r="AX113" i="1" s="1"/>
  <c r="W85" i="1"/>
  <c r="B9" i="14"/>
  <c r="AX86" i="1"/>
  <c r="AY86" i="1" s="1"/>
  <c r="AC87" i="1"/>
  <c r="AA98" i="1"/>
  <c r="W71" i="1"/>
  <c r="AC93" i="1"/>
  <c r="AC52" i="1"/>
  <c r="AC77" i="1"/>
  <c r="AB111" i="1"/>
  <c r="AC55" i="1"/>
  <c r="AC71" i="1"/>
  <c r="AC98" i="1"/>
  <c r="AC73" i="1"/>
  <c r="AC70" i="1"/>
  <c r="AC69" i="1"/>
  <c r="W105" i="1"/>
  <c r="W83" i="1"/>
  <c r="Z62" i="1"/>
  <c r="AC66" i="1"/>
  <c r="AC92" i="1"/>
  <c r="AC86" i="1"/>
  <c r="AC61" i="1"/>
  <c r="AC64" i="1"/>
  <c r="AH74" i="1"/>
  <c r="AC57" i="1"/>
  <c r="AC68" i="1"/>
  <c r="AC74" i="1"/>
  <c r="AC101" i="1"/>
  <c r="AM74" i="1"/>
  <c r="W80" i="1"/>
  <c r="AC95" i="1"/>
  <c r="AC62" i="1"/>
  <c r="AC124" i="1" s="1"/>
  <c r="AC60" i="1"/>
  <c r="AA74" i="1"/>
  <c r="W81" i="1"/>
  <c r="AM98" i="1"/>
  <c r="AC67" i="1"/>
  <c r="AC91" i="1"/>
  <c r="AC88" i="1"/>
  <c r="W101" i="1"/>
  <c r="AA62" i="1"/>
  <c r="AC51" i="1"/>
  <c r="AC54" i="1"/>
  <c r="AC56" i="1"/>
  <c r="AC82" i="1"/>
  <c r="Y113" i="1"/>
  <c r="AA113" i="1" s="1"/>
  <c r="AC103" i="1"/>
  <c r="AC78" i="1"/>
  <c r="AC116" i="1" s="1"/>
  <c r="AZ86" i="1"/>
  <c r="AZ74" i="1"/>
  <c r="AY74" i="1"/>
  <c r="W70" i="1"/>
  <c r="W102" i="1"/>
  <c r="AC75" i="1"/>
  <c r="AC76" i="1"/>
  <c r="AC97" i="1"/>
  <c r="AC65" i="1"/>
  <c r="AH86" i="1"/>
  <c r="W86" i="1"/>
  <c r="BA86" i="1" s="1"/>
  <c r="W75" i="1"/>
  <c r="W77" i="1"/>
  <c r="W100" i="1"/>
  <c r="AC79" i="1"/>
  <c r="AC89" i="1"/>
  <c r="AC102" i="1"/>
  <c r="AC106" i="1"/>
  <c r="AC108" i="1"/>
  <c r="AC109" i="1"/>
  <c r="AC110" i="1"/>
  <c r="AC107" i="1"/>
  <c r="AC83" i="1"/>
  <c r="AM86" i="1"/>
  <c r="W82" i="1"/>
  <c r="W63" i="1"/>
  <c r="AM62" i="1"/>
  <c r="AC96" i="1"/>
  <c r="AC122" i="1" s="1"/>
  <c r="AC58" i="1"/>
  <c r="AC94" i="1"/>
  <c r="AC104" i="1"/>
  <c r="AC85" i="1"/>
  <c r="AC100" i="1"/>
  <c r="AA86" i="1"/>
  <c r="AB98" i="1" s="1"/>
  <c r="W74" i="1"/>
  <c r="BA74" i="1" s="1"/>
  <c r="W84" i="1"/>
  <c r="AH62" i="1"/>
  <c r="AC59" i="1"/>
  <c r="AC80" i="1"/>
  <c r="AC118" i="1" s="1"/>
  <c r="AC105" i="1"/>
  <c r="AC81" i="1"/>
  <c r="W59" i="1"/>
  <c r="S113" i="1"/>
  <c r="W45" i="1"/>
  <c r="W42" i="1"/>
  <c r="W41" i="1"/>
  <c r="W44" i="1"/>
  <c r="W40" i="1"/>
  <c r="W43" i="1"/>
  <c r="W50" i="1"/>
  <c r="BA50" i="1" s="1"/>
  <c r="W47" i="1"/>
  <c r="W49" i="1"/>
  <c r="W48" i="1"/>
  <c r="W39" i="1"/>
  <c r="W54" i="1"/>
  <c r="W78" i="1"/>
  <c r="W91" i="1"/>
  <c r="W99" i="1"/>
  <c r="W97" i="1"/>
  <c r="W69" i="1"/>
  <c r="W104" i="1"/>
  <c r="W76" i="1"/>
  <c r="W61" i="1"/>
  <c r="W64" i="1"/>
  <c r="W56" i="1"/>
  <c r="W98" i="1"/>
  <c r="W66" i="1"/>
  <c r="W73" i="1"/>
  <c r="W51" i="1"/>
  <c r="W93" i="1"/>
  <c r="W53" i="1"/>
  <c r="W96" i="1"/>
  <c r="AA110" i="1"/>
  <c r="AB110" i="1" s="1"/>
  <c r="AH110" i="1"/>
  <c r="Z110" i="1"/>
  <c r="AM110" i="1"/>
  <c r="W94" i="1"/>
  <c r="W58" i="1"/>
  <c r="W65" i="1"/>
  <c r="W72" i="1"/>
  <c r="W68" i="1"/>
  <c r="W62" i="1"/>
  <c r="W57" i="1"/>
  <c r="W89" i="1"/>
  <c r="W52" i="1"/>
  <c r="W95" i="1"/>
  <c r="W92" i="1"/>
  <c r="W79" i="1"/>
  <c r="W107" i="1"/>
  <c r="W109" i="1"/>
  <c r="W108" i="1"/>
  <c r="W106" i="1"/>
  <c r="W110" i="1"/>
  <c r="W46" i="1"/>
  <c r="W90" i="1"/>
  <c r="W60" i="1"/>
  <c r="W87" i="1"/>
  <c r="W88" i="1"/>
  <c r="U50" i="1"/>
  <c r="AV50" i="1"/>
  <c r="AQ50" i="1"/>
  <c r="U98" i="1"/>
  <c r="AQ98" i="1"/>
  <c r="AV98" i="1"/>
  <c r="AS114" i="1"/>
  <c r="U86" i="1"/>
  <c r="AQ86" i="1"/>
  <c r="AV86" i="1"/>
  <c r="U74" i="1"/>
  <c r="AV74" i="1"/>
  <c r="AQ74" i="1"/>
  <c r="AQ110" i="1"/>
  <c r="AV110" i="1"/>
  <c r="U62" i="1"/>
  <c r="AV62" i="1"/>
  <c r="AQ62" i="1"/>
  <c r="V113" i="1"/>
  <c r="U110" i="1"/>
  <c r="V110" i="1" s="1"/>
  <c r="AV119" i="1" s="1"/>
  <c r="AU119" i="1" s="1"/>
  <c r="AT119" i="1" s="1"/>
  <c r="AS119" i="1" s="1"/>
  <c r="Z113" i="1" l="1"/>
  <c r="AZ50" i="1"/>
  <c r="D5" i="33"/>
  <c r="D7" i="17"/>
  <c r="E6" i="17"/>
  <c r="C5" i="33"/>
  <c r="E5" i="33"/>
  <c r="C6" i="33"/>
  <c r="D7" i="16"/>
  <c r="E6" i="16"/>
  <c r="E26" i="23"/>
  <c r="E26" i="20"/>
  <c r="F25" i="21"/>
  <c r="F26" i="24"/>
  <c r="F29" i="27"/>
  <c r="E30" i="26"/>
  <c r="E9" i="14"/>
  <c r="C9" i="14"/>
  <c r="D9" i="14"/>
  <c r="D10" i="14"/>
  <c r="C10" i="14"/>
  <c r="E10" i="14"/>
  <c r="D6" i="14"/>
  <c r="C6" i="14"/>
  <c r="AZ62" i="1"/>
  <c r="D7" i="14"/>
  <c r="C7" i="14"/>
  <c r="E7" i="14"/>
  <c r="AE114" i="1"/>
  <c r="E8" i="14"/>
  <c r="D8" i="14"/>
  <c r="C8" i="14"/>
  <c r="AB86" i="1"/>
  <c r="E11" i="14"/>
  <c r="D11" i="14"/>
  <c r="C11" i="14"/>
  <c r="BA62" i="1"/>
  <c r="AB74" i="1"/>
  <c r="AC114" i="1"/>
  <c r="AC117" i="1"/>
  <c r="W121" i="1"/>
  <c r="V74" i="1"/>
  <c r="W117" i="1"/>
  <c r="AC119" i="1"/>
  <c r="AC123" i="1"/>
  <c r="AC120" i="1"/>
  <c r="AC115" i="1"/>
  <c r="AC121" i="1"/>
  <c r="AY113" i="1"/>
  <c r="AZ113" i="1"/>
  <c r="W113" i="1"/>
  <c r="BA110" i="1"/>
  <c r="AZ110" i="1"/>
  <c r="AY110" i="1"/>
  <c r="T113" i="1"/>
  <c r="U113" i="1"/>
  <c r="AN114" i="1"/>
  <c r="AZ98" i="1"/>
  <c r="BA98" i="1"/>
  <c r="AY98" i="1"/>
  <c r="V98" i="1"/>
  <c r="W122" i="1"/>
  <c r="W124" i="1"/>
  <c r="W115" i="1"/>
  <c r="W120" i="1"/>
  <c r="W114" i="1"/>
  <c r="W119" i="1"/>
  <c r="W116" i="1"/>
  <c r="W118" i="1"/>
  <c r="W123" i="1"/>
  <c r="V86" i="1"/>
  <c r="V62" i="1"/>
  <c r="E6" i="33" l="1"/>
  <c r="D6" i="33"/>
  <c r="D8" i="16"/>
  <c r="E7" i="16"/>
  <c r="D8" i="17"/>
  <c r="E7" i="17"/>
  <c r="F26" i="21"/>
  <c r="F27" i="24"/>
  <c r="E27" i="20"/>
  <c r="E27" i="23"/>
  <c r="F30" i="27"/>
  <c r="E31" i="26"/>
  <c r="AB62" i="1"/>
  <c r="E7" i="46" s="1"/>
  <c r="D7" i="33" l="1"/>
  <c r="D9" i="16"/>
  <c r="E8" i="16"/>
  <c r="D9" i="17"/>
  <c r="E8" i="17"/>
  <c r="E7" i="33"/>
  <c r="E28" i="23"/>
  <c r="E28" i="20"/>
  <c r="F28" i="24"/>
  <c r="F27" i="21"/>
  <c r="F31" i="27"/>
  <c r="E32" i="26"/>
  <c r="E8" i="33" l="1"/>
  <c r="D10" i="17"/>
  <c r="E9" i="17"/>
  <c r="D10" i="16"/>
  <c r="E9" i="16"/>
  <c r="D8" i="33"/>
  <c r="E29" i="23"/>
  <c r="F29" i="24"/>
  <c r="F28" i="21"/>
  <c r="E29" i="20"/>
  <c r="F32" i="27"/>
  <c r="E33" i="26"/>
  <c r="C7" i="18"/>
  <c r="D7" i="18"/>
  <c r="D11" i="16" l="1"/>
  <c r="E10" i="16"/>
  <c r="D9" i="33"/>
  <c r="D11" i="17"/>
  <c r="E10" i="17"/>
  <c r="E9" i="33"/>
  <c r="E30" i="23"/>
  <c r="E30" i="20"/>
  <c r="F29" i="21"/>
  <c r="F30" i="24"/>
  <c r="F33" i="27"/>
  <c r="E35" i="26"/>
  <c r="E34" i="26"/>
  <c r="C8" i="18"/>
  <c r="E7" i="18"/>
  <c r="D8" i="18"/>
  <c r="D9" i="18" s="1"/>
  <c r="D10" i="18" s="1"/>
  <c r="D11" i="18" s="1"/>
  <c r="D12" i="18" s="1"/>
  <c r="D13" i="18" s="1"/>
  <c r="D14" i="18" s="1"/>
  <c r="D15" i="18" s="1"/>
  <c r="D16" i="18" s="1"/>
  <c r="D17" i="18" s="1"/>
  <c r="D18" i="18" s="1"/>
  <c r="D19" i="18" s="1"/>
  <c r="D20" i="18" s="1"/>
  <c r="D21" i="18" s="1"/>
  <c r="D22" i="18" s="1"/>
  <c r="D23" i="18" s="1"/>
  <c r="D24" i="18" s="1"/>
  <c r="D25" i="18" s="1"/>
  <c r="D26" i="18" s="1"/>
  <c r="D27" i="18" s="1"/>
  <c r="D28" i="18" s="1"/>
  <c r="D29" i="18" s="1"/>
  <c r="D30" i="18" s="1"/>
  <c r="D31" i="18" s="1"/>
  <c r="D32" i="18" s="1"/>
  <c r="D33" i="18" s="1"/>
  <c r="D34" i="18" s="1"/>
  <c r="D35" i="18" s="1"/>
  <c r="C7" i="33" l="1"/>
  <c r="D10" i="33"/>
  <c r="E10" i="33"/>
  <c r="D12" i="17"/>
  <c r="E11" i="17"/>
  <c r="D12" i="16"/>
  <c r="E11" i="16"/>
  <c r="F31" i="24"/>
  <c r="F30" i="21"/>
  <c r="E31" i="20"/>
  <c r="E31" i="23"/>
  <c r="F35" i="27"/>
  <c r="F34" i="27"/>
  <c r="C9" i="18"/>
  <c r="E8" i="18"/>
  <c r="D11" i="33" l="1"/>
  <c r="C8" i="33"/>
  <c r="D13" i="17"/>
  <c r="E12" i="17"/>
  <c r="E11" i="33"/>
  <c r="D13" i="16"/>
  <c r="E12" i="16"/>
  <c r="F31" i="21"/>
  <c r="E32" i="20"/>
  <c r="E32" i="23"/>
  <c r="F32" i="24"/>
  <c r="C10" i="18"/>
  <c r="E9" i="18"/>
  <c r="C9" i="33" l="1"/>
  <c r="E12" i="33"/>
  <c r="D12" i="33"/>
  <c r="D14" i="16"/>
  <c r="E13" i="16"/>
  <c r="D14" i="17"/>
  <c r="E13" i="17"/>
  <c r="F33" i="24"/>
  <c r="E33" i="20"/>
  <c r="E33" i="23"/>
  <c r="F32" i="21"/>
  <c r="C11" i="18"/>
  <c r="C12" i="18" s="1"/>
  <c r="C13" i="18" s="1"/>
  <c r="C14" i="18" s="1"/>
  <c r="C15" i="18" s="1"/>
  <c r="C16" i="18" s="1"/>
  <c r="C17" i="18" s="1"/>
  <c r="C18" i="18" s="1"/>
  <c r="C19" i="18" s="1"/>
  <c r="C20" i="18" s="1"/>
  <c r="C21" i="18" s="1"/>
  <c r="C22" i="18" s="1"/>
  <c r="C23" i="18" s="1"/>
  <c r="C24" i="18" s="1"/>
  <c r="C25" i="18" s="1"/>
  <c r="C26" i="18" s="1"/>
  <c r="C27" i="18" s="1"/>
  <c r="C28" i="18" s="1"/>
  <c r="C29" i="18" s="1"/>
  <c r="C30" i="18" s="1"/>
  <c r="C31" i="18" s="1"/>
  <c r="C32" i="18" s="1"/>
  <c r="C33" i="18" s="1"/>
  <c r="C34" i="18" s="1"/>
  <c r="C35" i="18" s="1"/>
  <c r="E10" i="18"/>
  <c r="E13" i="33" l="1"/>
  <c r="D15" i="16"/>
  <c r="E14" i="16"/>
  <c r="C10" i="33"/>
  <c r="D13" i="33"/>
  <c r="D15" i="17"/>
  <c r="E14" i="17"/>
  <c r="E35" i="20"/>
  <c r="E34" i="20"/>
  <c r="F33" i="21"/>
  <c r="E35" i="23"/>
  <c r="E34" i="23"/>
  <c r="F35" i="24"/>
  <c r="F34" i="24"/>
  <c r="E11" i="18"/>
  <c r="E14" i="33" l="1"/>
  <c r="D16" i="16"/>
  <c r="E15" i="16"/>
  <c r="D14" i="33"/>
  <c r="C11" i="33"/>
  <c r="D16" i="17"/>
  <c r="E15" i="17"/>
  <c r="F34" i="21"/>
  <c r="F35" i="21"/>
  <c r="E12" i="18"/>
  <c r="C12" i="33" l="1"/>
  <c r="D17" i="16"/>
  <c r="E16" i="16"/>
  <c r="E15" i="33"/>
  <c r="D15" i="33"/>
  <c r="D17" i="17"/>
  <c r="E16" i="17"/>
  <c r="E13" i="18"/>
  <c r="E16" i="33" l="1"/>
  <c r="D18" i="16"/>
  <c r="E17" i="16"/>
  <c r="C13" i="33"/>
  <c r="D16" i="33"/>
  <c r="D18" i="17"/>
  <c r="E17" i="17"/>
  <c r="E14" i="18"/>
  <c r="E17" i="33" l="1"/>
  <c r="D19" i="16"/>
  <c r="E18" i="16"/>
  <c r="C14" i="33"/>
  <c r="D17" i="33"/>
  <c r="D19" i="17"/>
  <c r="E18" i="17"/>
  <c r="E15" i="18"/>
  <c r="D20" i="17" l="1"/>
  <c r="E19" i="17"/>
  <c r="E18" i="33"/>
  <c r="C15" i="33"/>
  <c r="D20" i="16"/>
  <c r="E19" i="16"/>
  <c r="D18" i="33"/>
  <c r="E16" i="18"/>
  <c r="E19" i="33" l="1"/>
  <c r="D21" i="16"/>
  <c r="E20" i="16"/>
  <c r="D19" i="33"/>
  <c r="C16" i="33"/>
  <c r="D21" i="17"/>
  <c r="E20" i="17"/>
  <c r="E17" i="18"/>
  <c r="E20" i="33" l="1"/>
  <c r="D22" i="17"/>
  <c r="E21" i="17"/>
  <c r="C17" i="33"/>
  <c r="D22" i="16"/>
  <c r="E21" i="16"/>
  <c r="D20" i="33"/>
  <c r="E18" i="18"/>
  <c r="D23" i="17" l="1"/>
  <c r="E22" i="17"/>
  <c r="E21" i="33"/>
  <c r="C18" i="33"/>
  <c r="D21" i="33"/>
  <c r="D23" i="16"/>
  <c r="E22" i="16"/>
  <c r="E19" i="18"/>
  <c r="C19" i="33" l="1"/>
  <c r="D22" i="33"/>
  <c r="E22" i="33"/>
  <c r="D24" i="16"/>
  <c r="E23" i="16"/>
  <c r="D24" i="17"/>
  <c r="E23" i="17"/>
  <c r="E20" i="18"/>
  <c r="E23" i="33" l="1"/>
  <c r="C20" i="33"/>
  <c r="D25" i="16"/>
  <c r="E24" i="16"/>
  <c r="D23" i="33"/>
  <c r="D25" i="17"/>
  <c r="E24" i="17"/>
  <c r="E21" i="18"/>
  <c r="C21" i="33" l="1"/>
  <c r="D24" i="33"/>
  <c r="E24" i="33"/>
  <c r="D26" i="17"/>
  <c r="E25" i="17"/>
  <c r="D26" i="16"/>
  <c r="E25" i="16"/>
  <c r="E22" i="18"/>
  <c r="D25" i="33" l="1"/>
  <c r="C22" i="33"/>
  <c r="E25" i="33"/>
  <c r="D27" i="17"/>
  <c r="E26" i="17"/>
  <c r="D27" i="16"/>
  <c r="E26" i="16"/>
  <c r="E23" i="18"/>
  <c r="D26" i="33" l="1"/>
  <c r="C23" i="33"/>
  <c r="E26" i="33"/>
  <c r="D28" i="17"/>
  <c r="E27" i="17"/>
  <c r="D28" i="16"/>
  <c r="E27" i="16"/>
  <c r="E24" i="18"/>
  <c r="D29" i="17" l="1"/>
  <c r="E28" i="17"/>
  <c r="D27" i="33"/>
  <c r="C24" i="33"/>
  <c r="E27" i="33"/>
  <c r="D29" i="16"/>
  <c r="E28" i="16"/>
  <c r="E25" i="18"/>
  <c r="C25" i="33" l="1"/>
  <c r="E28" i="33"/>
  <c r="D28" i="33"/>
  <c r="D30" i="16"/>
  <c r="E29" i="16"/>
  <c r="D30" i="17"/>
  <c r="E29" i="17"/>
  <c r="E26" i="18"/>
  <c r="E29" i="33" l="1"/>
  <c r="C26" i="33"/>
  <c r="D29" i="33"/>
  <c r="D31" i="16"/>
  <c r="E30" i="16"/>
  <c r="D31" i="17"/>
  <c r="E30" i="17"/>
  <c r="E27" i="18"/>
  <c r="D32" i="16" l="1"/>
  <c r="E31" i="16"/>
  <c r="E30" i="33"/>
  <c r="D30" i="33"/>
  <c r="C27" i="33"/>
  <c r="D32" i="17"/>
  <c r="E31" i="17"/>
  <c r="E28" i="18"/>
  <c r="C28" i="33" l="1"/>
  <c r="E31" i="33"/>
  <c r="D31" i="33"/>
  <c r="D33" i="17"/>
  <c r="E32" i="17"/>
  <c r="D33" i="16"/>
  <c r="E32" i="16"/>
  <c r="E29" i="18"/>
  <c r="D32" i="33" l="1"/>
  <c r="C29" i="33"/>
  <c r="D34" i="17"/>
  <c r="E33" i="17"/>
  <c r="E32" i="33"/>
  <c r="D34" i="16"/>
  <c r="E33" i="16"/>
  <c r="E30" i="18"/>
  <c r="C30" i="33" l="1"/>
  <c r="D33" i="33"/>
  <c r="E33" i="33"/>
  <c r="D35" i="16"/>
  <c r="E35" i="16" s="1"/>
  <c r="E34" i="16"/>
  <c r="D35" i="17"/>
  <c r="E35" i="17" s="1"/>
  <c r="E34" i="17"/>
  <c r="E31" i="18"/>
  <c r="E34" i="33" l="1"/>
  <c r="E35" i="33"/>
  <c r="C31" i="33"/>
  <c r="D34" i="33"/>
  <c r="D35" i="33"/>
  <c r="E32" i="18"/>
  <c r="D36" i="33" l="1"/>
  <c r="C32" i="33"/>
  <c r="E33" i="18"/>
  <c r="C33" i="33" l="1"/>
  <c r="E35" i="18"/>
  <c r="E34" i="18"/>
  <c r="C35" i="33" l="1"/>
  <c r="C34" i="33"/>
  <c r="C37" i="33" l="1"/>
  <c r="C36" i="33"/>
</calcChain>
</file>

<file path=xl/sharedStrings.xml><?xml version="1.0" encoding="utf-8"?>
<sst xmlns="http://schemas.openxmlformats.org/spreadsheetml/2006/main" count="1008" uniqueCount="565">
  <si>
    <t>Período</t>
  </si>
  <si>
    <t>Partidas</t>
  </si>
  <si>
    <t>Embarques</t>
  </si>
  <si>
    <t>Chegadas</t>
  </si>
  <si>
    <t>Desembarques</t>
  </si>
  <si>
    <t>Movimentação Passageiros</t>
  </si>
  <si>
    <t>Movimentação Ônibus</t>
  </si>
  <si>
    <t>TERGIP</t>
  </si>
  <si>
    <t>Total ano</t>
  </si>
  <si>
    <t>Média Mensal</t>
  </si>
  <si>
    <t>Média Dia</t>
  </si>
  <si>
    <t>Variação</t>
  </si>
  <si>
    <t>Todos os terminais</t>
  </si>
  <si>
    <t>Total Ano Emb</t>
  </si>
  <si>
    <t>Embarques TERGIP</t>
  </si>
  <si>
    <t>Desembarques TERGIP</t>
  </si>
  <si>
    <t>Relatório de ocupação consolidado</t>
  </si>
  <si>
    <t>Entradas nos Estacionamentos</t>
  </si>
  <si>
    <t>Pagante</t>
  </si>
  <si>
    <t>Mensalista</t>
  </si>
  <si>
    <t>Manual</t>
  </si>
  <si>
    <t>Total Pagante</t>
  </si>
  <si>
    <t>Total Sanitários</t>
  </si>
  <si>
    <t>Banheiro</t>
  </si>
  <si>
    <t>Banho</t>
  </si>
  <si>
    <t>Empresas Emb.</t>
  </si>
  <si>
    <t>Empresas Banheiro</t>
  </si>
  <si>
    <t>Etiquetas</t>
  </si>
  <si>
    <t>Oferta x Demanda</t>
  </si>
  <si>
    <t>Dem/Ofe</t>
  </si>
  <si>
    <t>Ano</t>
  </si>
  <si>
    <t>Mês</t>
  </si>
  <si>
    <t>Dia</t>
  </si>
  <si>
    <t>Pag/hora</t>
  </si>
  <si>
    <t>não tem</t>
  </si>
  <si>
    <t>dados apenas do dia 1/04/20</t>
  </si>
  <si>
    <t>Região</t>
  </si>
  <si>
    <t>PIB BH</t>
  </si>
  <si>
    <t>PIB Percapito BH</t>
  </si>
  <si>
    <t>PIB MG</t>
  </si>
  <si>
    <t>PIB Percapito MG</t>
  </si>
  <si>
    <t>Fonte:</t>
  </si>
  <si>
    <t>http://novosite.fjp.mg.gov.br/produto-interno-bruto-pib-de-minas-gerais/</t>
  </si>
  <si>
    <t>PIB Percapito BR</t>
  </si>
  <si>
    <t>PIB BR</t>
  </si>
  <si>
    <t>Acre</t>
  </si>
  <si>
    <t>Alagoas</t>
  </si>
  <si>
    <t>Amapá</t>
  </si>
  <si>
    <t>Amazonas</t>
  </si>
  <si>
    <t>Bahia</t>
  </si>
  <si>
    <t>Ceará</t>
  </si>
  <si>
    <t>Distrito Federal</t>
  </si>
  <si>
    <t>Espírito Santo</t>
  </si>
  <si>
    <t>Goiás</t>
  </si>
  <si>
    <t>Maranhão</t>
  </si>
  <si>
    <t>Mato Grosso</t>
  </si>
  <si>
    <t>Mato Grosso do Sul</t>
  </si>
  <si>
    <t>Minas Gerais</t>
  </si>
  <si>
    <t>Paraná</t>
  </si>
  <si>
    <t>Paraíba</t>
  </si>
  <si>
    <t>Pará</t>
  </si>
  <si>
    <t>Pernambuco</t>
  </si>
  <si>
    <t>Piauí</t>
  </si>
  <si>
    <t>Rio de Janeiro</t>
  </si>
  <si>
    <t>Rio Grande do Norte</t>
  </si>
  <si>
    <t>Rio Grande do Sul</t>
  </si>
  <si>
    <t>Rondônia</t>
  </si>
  <si>
    <t>Roraima</t>
  </si>
  <si>
    <t>Santa Catarina</t>
  </si>
  <si>
    <t>Sergipe</t>
  </si>
  <si>
    <t>São Paulo</t>
  </si>
  <si>
    <t>Tocantins</t>
  </si>
  <si>
    <t>https://agenciadenoticias.ibge.gov.br/agencia-sala-de-imprensa/2013-agencia-de-noticias/releases/25921-em-2017-pib-cresce-1-3-e-chega-a-r-6-583-trilhoes</t>
  </si>
  <si>
    <t>https://agenciadenoticias.ibge.gov.br/agencia-sala-de-imprensa/2013-agencia-de-noticias/releases/23886-pib-cresce-1-1-em-2018-e-fecha-ano-em-r-6-8-trilhoes</t>
  </si>
  <si>
    <t>https://agenciadenoticias.ibge.gov.br/agencia-noticias/2012-agencia-de-noticias/noticias/27007-pib-cresce-1-1-e-fecha-2019-em-r-7-3-trilhoes</t>
  </si>
  <si>
    <t>https://www.ibge.gov.br/explica/pib.php#:~:text=O%20PIB%20do%20Brasil%20em,das%20Unidades%20da%20Federa%C3%A7%C3%A3o%20brasileiras.&amp;text=O%20PIB%20mede%20apenas%20os,finais%20para%20evitar%20dupla%20contagem.</t>
  </si>
  <si>
    <t>Variação %</t>
  </si>
  <si>
    <t>últimos 5 anos</t>
  </si>
  <si>
    <t>últimos 10 anos</t>
  </si>
  <si>
    <t>últimos 17 anos</t>
  </si>
  <si>
    <t>2014 a 2018</t>
  </si>
  <si>
    <t>2009 a 2018</t>
  </si>
  <si>
    <t>2002 a 2018</t>
  </si>
  <si>
    <t>BH</t>
  </si>
  <si>
    <t>MG</t>
  </si>
  <si>
    <t>BR</t>
  </si>
  <si>
    <r>
      <t>Crescimento anual do PIB nominal constante (%)</t>
    </r>
    <r>
      <rPr>
        <vertAlign val="superscript"/>
        <sz val="7"/>
        <color rgb="FF0645AD"/>
        <rFont val="Arial"/>
        <family val="2"/>
      </rPr>
      <t>[22][21]</t>
    </r>
  </si>
  <si>
    <t>Crescimento anual do PIB nominal (US$ constantes)</t>
  </si>
  <si>
    <t>PIB nominal (US$ constantes)[41]</t>
  </si>
  <si>
    <t>PIB nominal (US$ correntes)[42]</t>
  </si>
  <si>
    <t>Crescimento anual do PIB nominal corrente (%)</t>
  </si>
  <si>
    <t>Posição na economia mundial[43]</t>
  </si>
  <si>
    <t>Governo[44]</t>
  </si>
  <si>
    <t>(est. out 2020)</t>
  </si>
  <si>
    <t>61,9 bilhões</t>
  </si>
  <si>
    <t>2,273 tri</t>
  </si>
  <si>
    <r>
      <t>2,156 tri</t>
    </r>
    <r>
      <rPr>
        <sz val="11"/>
        <color rgb="FF202122"/>
        <rFont val="Arial"/>
        <family val="2"/>
      </rPr>
      <t> </t>
    </r>
    <r>
      <rPr>
        <sz val="9"/>
        <color rgb="FF808080"/>
        <rFont val="Arial"/>
        <family val="2"/>
      </rPr>
      <t>(est. abr 2019)</t>
    </r>
  </si>
  <si>
    <r>
      <t>08ª</t>
    </r>
    <r>
      <rPr>
        <sz val="11"/>
        <color rgb="FF202122"/>
        <rFont val="Arial"/>
        <family val="2"/>
      </rPr>
      <t> </t>
    </r>
    <r>
      <rPr>
        <b/>
        <sz val="9"/>
        <color rgb="FF808080"/>
        <rFont val="Arial"/>
        <family val="2"/>
      </rPr>
      <t>+1</t>
    </r>
  </si>
  <si>
    <t>Governo Bolsonaro</t>
  </si>
  <si>
    <t>‭-136,1 bilhões</t>
  </si>
  <si>
    <t>2,211 tri</t>
  </si>
  <si>
    <r>
      <t>2,063 tri</t>
    </r>
    <r>
      <rPr>
        <sz val="11"/>
        <color rgb="FF202122"/>
        <rFont val="Arial"/>
        <family val="2"/>
      </rPr>
      <t> </t>
    </r>
    <r>
      <rPr>
        <sz val="9"/>
        <color rgb="FF808080"/>
        <rFont val="Arial"/>
        <family val="2"/>
      </rPr>
      <t>(est. abr 2019)</t>
    </r>
  </si>
  <si>
    <t>09ª</t>
  </si>
  <si>
    <r>
      <t>1,960 tri</t>
    </r>
    <r>
      <rPr>
        <sz val="11"/>
        <color rgb="FF202122"/>
        <rFont val="Arial"/>
        <family val="2"/>
      </rPr>
      <t> </t>
    </r>
    <r>
      <rPr>
        <sz val="9"/>
        <color rgb="FF808080"/>
        <rFont val="Arial"/>
        <family val="2"/>
      </rPr>
      <t>(est. abr 2019)</t>
    </r>
  </si>
  <si>
    <r>
      <t> </t>
    </r>
    <r>
      <rPr>
        <b/>
        <sz val="11"/>
        <color rgb="FF202122"/>
        <rFont val="Arial"/>
        <family val="2"/>
      </rPr>
      <t>09ª </t>
    </r>
    <r>
      <rPr>
        <b/>
        <sz val="9"/>
        <color rgb="FFFF0000"/>
        <rFont val="Arial"/>
        <family val="2"/>
      </rPr>
      <t>-1</t>
    </r>
  </si>
  <si>
    <r>
      <t>Governo Temer</t>
    </r>
    <r>
      <rPr>
        <sz val="11"/>
        <color rgb="FF202122"/>
        <rFont val="Arial"/>
        <family val="2"/>
      </rPr>
      <t> / </t>
    </r>
    <r>
      <rPr>
        <sz val="11"/>
        <color rgb="FF0645AD"/>
        <rFont val="Arial"/>
        <family val="2"/>
      </rPr>
      <t>Governo Dilma</t>
    </r>
  </si>
  <si>
    <r>
      <t> </t>
    </r>
    <r>
      <rPr>
        <b/>
        <sz val="11"/>
        <color rgb="FF202122"/>
        <rFont val="Arial"/>
        <family val="2"/>
      </rPr>
      <t>08ª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</si>
  <si>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09ª</t>
    </r>
  </si>
  <si>
    <r>
      <t> </t>
    </r>
    <r>
      <rPr>
        <b/>
        <sz val="11"/>
        <color rgb="FF202122"/>
        <rFont val="Arial"/>
        <family val="2"/>
      </rPr>
      <t>09ª </t>
    </r>
    <r>
      <rPr>
        <b/>
        <sz val="9"/>
        <color rgb="FFFF0000"/>
        <rFont val="Arial"/>
        <family val="2"/>
      </rPr>
      <t>-2</t>
    </r>
  </si>
  <si>
    <r>
      <t> </t>
    </r>
    <r>
      <rPr>
        <b/>
        <sz val="11"/>
        <color rgb="FF202122"/>
        <rFont val="Arial"/>
        <family val="2"/>
      </rPr>
      <t>07ª</t>
    </r>
  </si>
  <si>
    <r>
      <t> </t>
    </r>
    <r>
      <rPr>
        <b/>
        <sz val="11"/>
        <color rgb="FF202122"/>
        <rFont val="Arial"/>
        <family val="2"/>
      </rPr>
      <t>07ª </t>
    </r>
    <r>
      <rPr>
        <b/>
        <sz val="9"/>
        <color rgb="FFFF0000"/>
        <rFont val="Arial"/>
        <family val="2"/>
      </rPr>
      <t>-1</t>
    </r>
  </si>
  <si>
    <r>
      <t> </t>
    </r>
    <r>
      <rPr>
        <b/>
        <sz val="11"/>
        <color rgb="FF202122"/>
        <rFont val="Arial"/>
        <family val="2"/>
      </rPr>
      <t>06ª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</si>
  <si>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07ª </t>
    </r>
    <r>
      <rPr>
        <b/>
        <sz val="9"/>
        <color rgb="FF008000"/>
        <rFont val="Arial"/>
        <family val="2"/>
      </rPr>
      <t>+1</t>
    </r>
  </si>
  <si>
    <t>Governo Lula</t>
  </si>
  <si>
    <r>
      <t> </t>
    </r>
    <r>
      <rPr>
        <b/>
        <sz val="11"/>
        <color rgb="FF202122"/>
        <rFont val="Arial"/>
        <family val="2"/>
      </rPr>
      <t>09ª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</si>
  <si>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10ª</t>
    </r>
  </si>
  <si>
    <r>
      <t> </t>
    </r>
    <r>
      <rPr>
        <b/>
        <sz val="11"/>
        <color rgb="FF202122"/>
        <rFont val="Arial"/>
        <family val="2"/>
      </rPr>
      <t>10ª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</si>
  <si>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11ª </t>
    </r>
    <r>
      <rPr>
        <b/>
        <sz val="9"/>
        <color rgb="FF008000"/>
        <rFont val="Arial"/>
        <family val="2"/>
      </rPr>
      <t>+2</t>
    </r>
  </si>
  <si>
    <r>
      <t> </t>
    </r>
    <r>
      <rPr>
        <b/>
        <sz val="11"/>
        <color rgb="FF202122"/>
        <rFont val="Arial"/>
        <family val="2"/>
      </rPr>
      <t>13ª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</si>
  <si>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14ª </t>
    </r>
    <r>
      <rPr>
        <b/>
        <sz val="9"/>
        <color rgb="FFFF0000"/>
        <rFont val="Arial"/>
        <family val="2"/>
      </rPr>
      <t>-1</t>
    </r>
  </si>
  <si>
    <r>
      <t> </t>
    </r>
    <r>
      <rPr>
        <b/>
        <sz val="11"/>
        <color rgb="FF202122"/>
        <rFont val="Arial"/>
        <family val="2"/>
      </rPr>
      <t>13ª </t>
    </r>
    <r>
      <rPr>
        <b/>
        <sz val="9"/>
        <color rgb="FFFF0000"/>
        <rFont val="Arial"/>
        <family val="2"/>
      </rPr>
      <t>-2</t>
    </r>
  </si>
  <si>
    <t>Governo FHC</t>
  </si>
  <si>
    <r>
      <t> </t>
    </r>
    <r>
      <rPr>
        <b/>
        <sz val="11"/>
        <color rgb="FF202122"/>
        <rFont val="Arial"/>
        <family val="2"/>
      </rPr>
      <t>11ª </t>
    </r>
    <r>
      <rPr>
        <b/>
        <sz val="9"/>
        <color rgb="FFFF0000"/>
        <rFont val="Arial"/>
        <family val="2"/>
      </rPr>
      <t>-1</t>
    </r>
  </si>
  <si>
    <r>
      <t> </t>
    </r>
    <r>
      <rPr>
        <b/>
        <sz val="11"/>
        <color rgb="FF202122"/>
        <rFont val="Arial"/>
        <family val="2"/>
      </rPr>
      <t>10ª </t>
    </r>
    <r>
      <rPr>
        <b/>
        <sz val="9"/>
        <color rgb="FFFF0000"/>
        <rFont val="Arial"/>
        <family val="2"/>
      </rPr>
      <t>-2</t>
    </r>
  </si>
  <si>
    <r>
      <t> </t>
    </r>
    <r>
      <rPr>
        <b/>
        <sz val="11"/>
        <color rgb="FF202122"/>
        <rFont val="Arial"/>
        <family val="2"/>
      </rPr>
      <t>08ª</t>
    </r>
  </si>
  <si>
    <r>
      <t> </t>
    </r>
    <r>
      <rPr>
        <b/>
        <sz val="11"/>
        <color rgb="FF202122"/>
        <rFont val="Arial"/>
        <family val="2"/>
      </rPr>
      <t>08ª </t>
    </r>
    <r>
      <rPr>
        <b/>
        <sz val="9"/>
        <color rgb="FFFF0000"/>
        <rFont val="Arial"/>
        <family val="2"/>
      </rPr>
      <t>-1</t>
    </r>
  </si>
  <si>
    <r>
      <t> </t>
    </r>
    <r>
      <rPr>
        <b/>
        <sz val="11"/>
        <color rgb="FF202122"/>
        <rFont val="Arial"/>
        <family val="2"/>
      </rPr>
      <t>07ª </t>
    </r>
    <r>
      <rPr>
        <b/>
        <sz val="9"/>
        <color rgb="FF008000"/>
        <rFont val="Arial"/>
        <family val="2"/>
      </rPr>
      <t>+2</t>
    </r>
  </si>
  <si>
    <r>
      <t> </t>
    </r>
    <r>
      <rPr>
        <b/>
        <sz val="11"/>
        <color rgb="FF202122"/>
        <rFont val="Arial"/>
        <family val="2"/>
      </rPr>
      <t>09ª </t>
    </r>
    <r>
      <rPr>
        <b/>
        <sz val="9"/>
        <color rgb="FF008000"/>
        <rFont val="Arial"/>
        <family val="2"/>
      </rPr>
      <t>+2</t>
    </r>
  </si>
  <si>
    <r>
      <t>Governo Itamar</t>
    </r>
    <r>
      <rPr>
        <sz val="11"/>
        <color rgb="FF202122"/>
        <rFont val="Arial"/>
        <family val="2"/>
      </rPr>
      <t> / </t>
    </r>
    <r>
      <rPr>
        <sz val="11"/>
        <color rgb="FF0645AD"/>
        <rFont val="Arial"/>
        <family val="2"/>
      </rPr>
      <t>Governo Collor</t>
    </r>
  </si>
  <si>
    <r>
      <t> </t>
    </r>
    <r>
      <rPr>
        <b/>
        <sz val="11"/>
        <color rgb="FF202122"/>
        <rFont val="Arial"/>
        <family val="2"/>
      </rPr>
      <t>11ª</t>
    </r>
  </si>
  <si>
    <r>
      <t> </t>
    </r>
    <r>
      <rPr>
        <b/>
        <sz val="11"/>
        <color rgb="FF202122"/>
        <rFont val="Arial"/>
        <family val="2"/>
      </rPr>
      <t>11ª </t>
    </r>
    <r>
      <rPr>
        <b/>
        <sz val="9"/>
        <color rgb="FFFF0000"/>
        <rFont val="Arial"/>
        <family val="2"/>
      </rPr>
      <t>-2</t>
    </r>
  </si>
  <si>
    <r>
      <t> </t>
    </r>
    <r>
      <rPr>
        <b/>
        <sz val="11"/>
        <color rgb="FF202122"/>
        <rFont val="Arial"/>
        <family val="2"/>
      </rPr>
      <t>10ª </t>
    </r>
    <r>
      <rPr>
        <b/>
        <sz val="11"/>
        <color rgb="FFFF0000"/>
        <rFont val="Arial"/>
        <family val="2"/>
      </rPr>
      <t>-1</t>
    </r>
  </si>
  <si>
    <t>Governo Sarney</t>
  </si>
  <si>
    <r>
      <t> </t>
    </r>
    <r>
      <rPr>
        <b/>
        <sz val="11"/>
        <color rgb="FF202122"/>
        <rFont val="Arial"/>
        <family val="2"/>
      </rPr>
      <t>10ª </t>
    </r>
    <r>
      <rPr>
        <b/>
        <sz val="9"/>
        <color rgb="FFFF0000"/>
        <rFont val="Arial"/>
        <family val="2"/>
      </rPr>
      <t>-1</t>
    </r>
  </si>
  <si>
    <r>
      <t> </t>
    </r>
    <r>
      <rPr>
        <b/>
        <sz val="11"/>
        <color rgb="FF202122"/>
        <rFont val="Arial"/>
        <family val="2"/>
      </rPr>
      <t>10ª </t>
    </r>
    <r>
      <rPr>
        <b/>
        <sz val="9"/>
        <color rgb="FF008000"/>
        <rFont val="Arial"/>
        <family val="2"/>
      </rPr>
      <t>+4</t>
    </r>
  </si>
  <si>
    <r>
      <t> </t>
    </r>
    <r>
      <rPr>
        <b/>
        <sz val="11"/>
        <color rgb="FF202122"/>
        <rFont val="Arial"/>
        <family val="2"/>
      </rPr>
      <t>14ª</t>
    </r>
  </si>
  <si>
    <t>Governo Figueiredo</t>
  </si>
  <si>
    <r>
      <t> </t>
    </r>
    <r>
      <rPr>
        <b/>
        <sz val="11"/>
        <color rgb="FF202122"/>
        <rFont val="Arial"/>
        <family val="2"/>
      </rPr>
      <t>13ª </t>
    </r>
    <r>
      <rPr>
        <b/>
        <sz val="9"/>
        <color rgb="FF008000"/>
        <rFont val="Arial"/>
        <family val="2"/>
      </rPr>
      <t>+2</t>
    </r>
  </si>
  <si>
    <r>
      <t> </t>
    </r>
    <r>
      <rPr>
        <b/>
        <sz val="11"/>
        <color rgb="FF202122"/>
        <rFont val="Arial"/>
        <family val="2"/>
      </rPr>
      <t>15ª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</si>
  <si>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16ª </t>
    </r>
    <r>
      <rPr>
        <b/>
        <sz val="9"/>
        <color rgb="FFFF0000"/>
        <rFont val="Arial"/>
        <family val="2"/>
      </rPr>
      <t>-6</t>
    </r>
  </si>
  <si>
    <t>Governo Geisel</t>
  </si>
  <si>
    <r>
      <t> </t>
    </r>
    <r>
      <rPr>
        <b/>
        <sz val="11"/>
        <color rgb="FF202122"/>
        <rFont val="Arial"/>
        <family val="2"/>
      </rPr>
      <t>11ª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</si>
  <si>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12ª</t>
    </r>
  </si>
  <si>
    <r>
      <t> </t>
    </r>
    <r>
      <rPr>
        <b/>
        <sz val="11"/>
        <color rgb="FF202122"/>
        <rFont val="Arial"/>
        <family val="2"/>
      </rPr>
      <t>12ª </t>
    </r>
    <r>
      <rPr>
        <b/>
        <sz val="9"/>
        <color rgb="FF008000"/>
        <rFont val="Arial"/>
        <family val="2"/>
      </rPr>
      <t>+2</t>
    </r>
  </si>
  <si>
    <t>Governo Médici</t>
  </si>
  <si>
    <r>
      <t> </t>
    </r>
    <r>
      <rPr>
        <b/>
        <sz val="11"/>
        <color rgb="FF202122"/>
        <rFont val="Arial"/>
        <family val="2"/>
      </rPr>
      <t>14ª </t>
    </r>
    <r>
      <rPr>
        <b/>
        <sz val="9"/>
        <color rgb="FF008000"/>
        <rFont val="Arial"/>
        <family val="2"/>
      </rPr>
      <t>+1</t>
    </r>
  </si>
  <si>
    <r>
      <t> </t>
    </r>
    <r>
      <rPr>
        <b/>
        <sz val="11"/>
        <color rgb="FF202122"/>
        <rFont val="Arial"/>
        <family val="2"/>
      </rPr>
      <t>15ª</t>
    </r>
  </si>
  <si>
    <r>
      <t> </t>
    </r>
    <r>
      <rPr>
        <b/>
        <sz val="11"/>
        <color rgb="FF202122"/>
        <rFont val="Arial"/>
        <family val="2"/>
      </rPr>
      <t>15ª </t>
    </r>
    <r>
      <rPr>
        <b/>
        <sz val="9"/>
        <color rgb="FFFF0000"/>
        <rFont val="Arial"/>
        <family val="2"/>
      </rPr>
      <t>-5</t>
    </r>
  </si>
  <si>
    <t>Governo Costa e Silva</t>
  </si>
  <si>
    <t>Governo Castello</t>
  </si>
  <si>
    <r>
      <t> </t>
    </r>
    <r>
      <rPr>
        <b/>
        <sz val="11"/>
        <color rgb="FF202122"/>
        <rFont val="Arial"/>
        <family val="2"/>
      </rPr>
      <t>14ª </t>
    </r>
    <r>
      <rPr>
        <b/>
        <sz val="9"/>
        <color rgb="FFFF0000"/>
        <rFont val="Arial"/>
        <family val="2"/>
      </rPr>
      <t>-2</t>
    </r>
  </si>
  <si>
    <r>
      <t> </t>
    </r>
    <r>
      <rPr>
        <b/>
        <sz val="11"/>
        <color rgb="FF202122"/>
        <rFont val="Arial"/>
        <family val="2"/>
      </rPr>
      <t>12ª </t>
    </r>
    <r>
      <rPr>
        <b/>
        <sz val="9"/>
        <color rgb="FFFF0000"/>
        <rFont val="Arial"/>
        <family val="2"/>
      </rPr>
      <t>-3</t>
    </r>
  </si>
  <si>
    <r>
      <t>Governo Goulart</t>
    </r>
    <r>
      <rPr>
        <sz val="11"/>
        <color rgb="FF202122"/>
        <rFont val="Arial"/>
        <family val="2"/>
      </rPr>
      <t> / </t>
    </r>
    <r>
      <rPr>
        <sz val="11"/>
        <color rgb="FF0645AD"/>
        <rFont val="Arial"/>
        <family val="2"/>
      </rPr>
      <t>Governo Jânio</t>
    </r>
  </si>
  <si>
    <t>https://pt.wikipedia.org/wiki/Produto_interno_bruto_do_Brasil#Crescimento_anual_(R$)</t>
  </si>
  <si>
    <t>Tabela 1846 - Valores a preços correntes</t>
  </si>
  <si>
    <t>https://sidra.ibge.gov.br/tabela/1846#/n1/all/v/all/p/all/c11255/90687,90691,90696,90705,90706,90707,93404,93405,93406,93407,93408,102880/l/v,c11255,t+p/resultado</t>
  </si>
  <si>
    <t>Variável - Valores a preços correntes (Milhões de Reais)</t>
  </si>
  <si>
    <t>Brasil</t>
  </si>
  <si>
    <t>Trimestre</t>
  </si>
  <si>
    <t>Setores e subsetores</t>
  </si>
  <si>
    <t>Agropecuária - total</t>
  </si>
  <si>
    <t>Indústria - total</t>
  </si>
  <si>
    <t>Serviços - total</t>
  </si>
  <si>
    <t>Valor adicionado a preços básicos</t>
  </si>
  <si>
    <t>Impostos líquidos sobre produtos</t>
  </si>
  <si>
    <t>PIB a preços de mercado</t>
  </si>
  <si>
    <t>Despesa de consumo das famílias</t>
  </si>
  <si>
    <t>Despesa de consumo da administração pública</t>
  </si>
  <si>
    <t>Formação bruta de capital fixo</t>
  </si>
  <si>
    <t>Variação de estoque</t>
  </si>
  <si>
    <t>Exportação de bens e serviços</t>
  </si>
  <si>
    <t>Importação de bens e serviços (-)</t>
  </si>
  <si>
    <t>1º trimestre 1996</t>
  </si>
  <si>
    <t>2º trimestre 1996</t>
  </si>
  <si>
    <t>3º trimestre 1996</t>
  </si>
  <si>
    <t>4º trimestre 1996</t>
  </si>
  <si>
    <t>1º trimestre 1997</t>
  </si>
  <si>
    <t>2º trimestre 1997</t>
  </si>
  <si>
    <t>3º trimestre 1997</t>
  </si>
  <si>
    <t>4º trimestre 1997</t>
  </si>
  <si>
    <t>1º trimestre 1998</t>
  </si>
  <si>
    <t>2º trimestre 1998</t>
  </si>
  <si>
    <t>3º trimestre 1998</t>
  </si>
  <si>
    <t>4º trimestre 1998</t>
  </si>
  <si>
    <t>1º trimestre 1999</t>
  </si>
  <si>
    <t>2º trimestre 1999</t>
  </si>
  <si>
    <t>3º trimestre 1999</t>
  </si>
  <si>
    <t>4º trimestre 1999</t>
  </si>
  <si>
    <t>1º trimestre 2000</t>
  </si>
  <si>
    <t>2º trimestre 2000</t>
  </si>
  <si>
    <t>3º trimestre 2000</t>
  </si>
  <si>
    <t>4º trimestre 2000</t>
  </si>
  <si>
    <t>1º trimestre 2001</t>
  </si>
  <si>
    <t>2º trimestre 2001</t>
  </si>
  <si>
    <t>3º trimestre 2001</t>
  </si>
  <si>
    <t>4º trimestre 2001</t>
  </si>
  <si>
    <t>1º trimestre 2002</t>
  </si>
  <si>
    <t>2º trimestre 2002</t>
  </si>
  <si>
    <t>3º trimestre 2002</t>
  </si>
  <si>
    <t>4º trimestre 2002</t>
  </si>
  <si>
    <t>1º trimestre 2003</t>
  </si>
  <si>
    <t>2º trimestre 2003</t>
  </si>
  <si>
    <t>3º trimestre 2003</t>
  </si>
  <si>
    <t>4º trimestre 2003</t>
  </si>
  <si>
    <t>1º trimestre 2004</t>
  </si>
  <si>
    <t>2º trimestre 2004</t>
  </si>
  <si>
    <t>3º trimestre 2004</t>
  </si>
  <si>
    <t>4º trimestre 2004</t>
  </si>
  <si>
    <t>1º trimestre 2005</t>
  </si>
  <si>
    <t>2º trimestre 2005</t>
  </si>
  <si>
    <t>3º trimestre 2005</t>
  </si>
  <si>
    <t>4º trimestre 2005</t>
  </si>
  <si>
    <t>1º trimestre 2006</t>
  </si>
  <si>
    <t>2º trimestre 2006</t>
  </si>
  <si>
    <t>3º trimestre 2006</t>
  </si>
  <si>
    <t>4º trimestre 2006</t>
  </si>
  <si>
    <t>1º trimestre 2007</t>
  </si>
  <si>
    <t>2º trimestre 2007</t>
  </si>
  <si>
    <t>3º trimestre 2007</t>
  </si>
  <si>
    <t>4º trimestre 2007</t>
  </si>
  <si>
    <t>1º trimestre 2008</t>
  </si>
  <si>
    <t>2º trimestre 2008</t>
  </si>
  <si>
    <t>3º trimestre 2008</t>
  </si>
  <si>
    <t>4º trimestre 2008</t>
  </si>
  <si>
    <t>1º trimestre 2009</t>
  </si>
  <si>
    <t>2º trimestre 2009</t>
  </si>
  <si>
    <t>3º trimestre 2009</t>
  </si>
  <si>
    <t>4º trimestre 2009</t>
  </si>
  <si>
    <t>1º trimestre 2010</t>
  </si>
  <si>
    <t>2º trimestre 2010</t>
  </si>
  <si>
    <t>3º trimestre 2010</t>
  </si>
  <si>
    <t>4º trimestre 2010</t>
  </si>
  <si>
    <t>1º trimestre 2011</t>
  </si>
  <si>
    <t>2º trimestre 2011</t>
  </si>
  <si>
    <t>3º trimestre 2011</t>
  </si>
  <si>
    <t>4º trimestre 2011</t>
  </si>
  <si>
    <t>1º trimestre 2012</t>
  </si>
  <si>
    <t>2º trimestre 2012</t>
  </si>
  <si>
    <t>3º trimestre 2012</t>
  </si>
  <si>
    <t>4º trimestre 2012</t>
  </si>
  <si>
    <t>1º trimestre 2013</t>
  </si>
  <si>
    <t>2º trimestre 2013</t>
  </si>
  <si>
    <t>3º trimestre 2013</t>
  </si>
  <si>
    <t>4º trimestre 2013</t>
  </si>
  <si>
    <t>1º trimestre 2014</t>
  </si>
  <si>
    <t>2º trimestre 2014</t>
  </si>
  <si>
    <t>3º trimestre 2014</t>
  </si>
  <si>
    <t>4º trimestre 2014</t>
  </si>
  <si>
    <t>1º trimestre 2015</t>
  </si>
  <si>
    <t>2º trimestre 2015</t>
  </si>
  <si>
    <t>3º trimestre 2015</t>
  </si>
  <si>
    <t>4º trimestre 2015</t>
  </si>
  <si>
    <t>1º trimestre 2016</t>
  </si>
  <si>
    <t>2º trimestre 2016</t>
  </si>
  <si>
    <t>3º trimestre 2016</t>
  </si>
  <si>
    <t>4º trimestre 2016</t>
  </si>
  <si>
    <t>1º trimestre 2017</t>
  </si>
  <si>
    <t>2º trimestre 2017</t>
  </si>
  <si>
    <t>3º trimestre 2017</t>
  </si>
  <si>
    <t>4º trimestre 2017</t>
  </si>
  <si>
    <t>1º trimestre 2018</t>
  </si>
  <si>
    <t>2º trimestre 2018</t>
  </si>
  <si>
    <t>3º trimestre 2018</t>
  </si>
  <si>
    <t>4º trimestre 2018</t>
  </si>
  <si>
    <t>1º trimestre 2019</t>
  </si>
  <si>
    <t>2º trimestre 2019</t>
  </si>
  <si>
    <t>3º trimestre 2019</t>
  </si>
  <si>
    <t>4º trimestre 2019</t>
  </si>
  <si>
    <t>1º trimestre 2020</t>
  </si>
  <si>
    <t>2º trimestre 2020</t>
  </si>
  <si>
    <t>3º trimestre 2020</t>
  </si>
  <si>
    <t>4º trimestre 2020</t>
  </si>
  <si>
    <t>Fonte: IBGE - Contas Nacionais Trimestrais</t>
  </si>
  <si>
    <t>Média 5 anos (2015 a 2019)</t>
  </si>
  <si>
    <t>Média 5 anos (2016 a 2020)</t>
  </si>
  <si>
    <t>Média 10 anos (2011 a 2020)</t>
  </si>
  <si>
    <t>Média 15 anos (2006 a 2020)</t>
  </si>
  <si>
    <t>Média 20 anos (2001 a 2020)</t>
  </si>
  <si>
    <t>Média 25 anos (1996 a 2020)</t>
  </si>
  <si>
    <t>Média 30 anos (1991 a 2020)</t>
  </si>
  <si>
    <t>Média 10 anos (2010 a 2019)</t>
  </si>
  <si>
    <t>Média 15 anos (2005 a 2019)</t>
  </si>
  <si>
    <t>Média 20 anos (2000 a 2019)</t>
  </si>
  <si>
    <t>Média 25 anos (1995 a 2019)</t>
  </si>
  <si>
    <t>Média 30 anos (1990 a 2019)</t>
  </si>
  <si>
    <t>Fonte: IBGE. Informações disponíveis no SGS - Sistema Gerenciador de Séries Temporais, no site do Banco Central.</t>
  </si>
  <si>
    <t>https://infograficos.gazetadopovo.com.br/economia/pib-do-brasil/</t>
  </si>
  <si>
    <t>MG Variação %</t>
  </si>
  <si>
    <t>MG Variação % Per Capita</t>
  </si>
  <si>
    <t>Pop Residente</t>
  </si>
  <si>
    <t>MG Variação Pop %</t>
  </si>
  <si>
    <t>BR Variação Pop %</t>
  </si>
  <si>
    <t>Tabela</t>
  </si>
  <si>
    <t>Total</t>
  </si>
  <si>
    <t>Total Ano</t>
  </si>
  <si>
    <t>Utilização do Estacionamento</t>
  </si>
  <si>
    <t>Média Mensal*</t>
  </si>
  <si>
    <t>Média Dia**</t>
  </si>
  <si>
    <t>PIB</t>
  </si>
  <si>
    <t>Gráfico</t>
  </si>
  <si>
    <t>PIB Observado</t>
  </si>
  <si>
    <t>PIB Pré pandemia (14/02/20)</t>
  </si>
  <si>
    <t>PIB Pior momento (30/06/20)</t>
  </si>
  <si>
    <t>PIB Mais recente (05/03/21)</t>
  </si>
  <si>
    <t>Cenário Pessimista</t>
  </si>
  <si>
    <t>Cenário Otimista</t>
  </si>
  <si>
    <t>Demanda Total</t>
  </si>
  <si>
    <t>Demanda Média</t>
  </si>
  <si>
    <t>Variação na Demanda</t>
  </si>
  <si>
    <t>Anual</t>
  </si>
  <si>
    <t>Mensal*</t>
  </si>
  <si>
    <t>Diária**</t>
  </si>
  <si>
    <t>Pagantes Hora</t>
  </si>
  <si>
    <t>Mensalistas</t>
  </si>
  <si>
    <t>Etiqueta</t>
  </si>
  <si>
    <t>Pessoas Circulando pelo Terminal</t>
  </si>
  <si>
    <t>Pagantes</t>
  </si>
  <si>
    <t>Variação do PIB</t>
  </si>
  <si>
    <t>Média (2000 a 2019)</t>
  </si>
  <si>
    <t>Média (2000 a 2020)</t>
  </si>
  <si>
    <t>População</t>
  </si>
  <si>
    <t>Variação Anual</t>
  </si>
  <si>
    <t>Demanda Passageiros</t>
  </si>
  <si>
    <t>Cenário Intermediário</t>
  </si>
  <si>
    <t>Realizado</t>
  </si>
  <si>
    <t>Vagas</t>
  </si>
  <si>
    <t>PERÍODO</t>
  </si>
  <si>
    <t>Entrada</t>
  </si>
  <si>
    <t>OSA
Pag</t>
  </si>
  <si>
    <t>Saída</t>
  </si>
  <si>
    <t>AVULSO
Pag</t>
  </si>
  <si>
    <t>MENSALISTA
Revalidação</t>
  </si>
  <si>
    <t>DÉBITO
Recarga</t>
  </si>
  <si>
    <t>MANUAL
Pag                Saída</t>
  </si>
  <si>
    <t>Pag</t>
  </si>
  <si>
    <t>LOST</t>
  </si>
  <si>
    <t>OCUPAÇÃO PÁTIO</t>
  </si>
  <si>
    <t>00:00 - 00:59</t>
  </si>
  <si>
    <t>01:00 - 01:59</t>
  </si>
  <si>
    <t>02:00 - 02:59</t>
  </si>
  <si>
    <t>03:00 - 03:59</t>
  </si>
  <si>
    <t>04:00 - 04:59</t>
  </si>
  <si>
    <t>05:00 - 05:59</t>
  </si>
  <si>
    <t>06:00 - 06:59</t>
  </si>
  <si>
    <t>07:00 - 07:59</t>
  </si>
  <si>
    <t>08:00 - 08:59</t>
  </si>
  <si>
    <t>09:00 - 09:59</t>
  </si>
  <si>
    <t>10:00 - 10:59</t>
  </si>
  <si>
    <t>11:00 - 11:59</t>
  </si>
  <si>
    <t>12:00 - 12:59</t>
  </si>
  <si>
    <t>13:00 - 13:59</t>
  </si>
  <si>
    <t>14:00 - 14:59</t>
  </si>
  <si>
    <t>15:00 - 15:59</t>
  </si>
  <si>
    <t>16:00 - 16:59</t>
  </si>
  <si>
    <t>17:00 - 17:59</t>
  </si>
  <si>
    <t>18:00 - 18:59</t>
  </si>
  <si>
    <t>19:00 - 19:59</t>
  </si>
  <si>
    <t>20:00 - 20:59</t>
  </si>
  <si>
    <t>Cenário de Referência</t>
  </si>
  <si>
    <t>Cenário Transformador</t>
  </si>
  <si>
    <t>Ano de Concessão</t>
  </si>
  <si>
    <t>Média</t>
  </si>
  <si>
    <t>% da Movimentação Total</t>
  </si>
  <si>
    <r>
      <t>Mensal</t>
    </r>
    <r>
      <rPr>
        <b/>
        <vertAlign val="superscript"/>
        <sz val="10"/>
        <color rgb="FFFFFFFF"/>
        <rFont val="Calibri"/>
        <family val="2"/>
      </rPr>
      <t>*</t>
    </r>
  </si>
  <si>
    <r>
      <t>Diária</t>
    </r>
    <r>
      <rPr>
        <b/>
        <vertAlign val="superscript"/>
        <sz val="10"/>
        <color rgb="FFFFFFFF"/>
        <rFont val="Calibri"/>
        <family val="2"/>
      </rPr>
      <t>**</t>
    </r>
  </si>
  <si>
    <r>
      <t>2015</t>
    </r>
    <r>
      <rPr>
        <vertAlign val="superscript"/>
        <sz val="10"/>
        <color theme="1"/>
        <rFont val="Calibri"/>
        <family val="2"/>
      </rPr>
      <t>***</t>
    </r>
  </si>
  <si>
    <t>Observações:</t>
  </si>
  <si>
    <t>** total anual / 365</t>
  </si>
  <si>
    <t>* total anual / 12</t>
  </si>
  <si>
    <t>*** valor de embarques estimado</t>
  </si>
  <si>
    <t>% da Movimentação Total no Ano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</si>
  <si>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</si>
  <si>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</si>
  <si>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</si>
  <si>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</si>
  <si>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</si>
  <si>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</si>
  <si>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</si>
  <si>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</si>
  <si>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</si>
  <si>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</si>
  <si>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</si>
  <si>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</si>
  <si>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 xml:space="preserve">Tabela </t>
  </si>
  <si>
    <t>Total de Entradas</t>
  </si>
  <si>
    <t>Total de Pagantes por tempo de uso</t>
  </si>
  <si>
    <t>Total de Pagantes Mensalistas</t>
  </si>
  <si>
    <t>Total de Pagantes</t>
  </si>
  <si>
    <t>Rotatividade Média</t>
  </si>
  <si>
    <t>Variação Anual%</t>
  </si>
  <si>
    <t>Média mensal 2019</t>
  </si>
  <si>
    <t>Média mensal 2020</t>
  </si>
  <si>
    <t>Média Diária 2019</t>
  </si>
  <si>
    <t>Média Diária 2020</t>
  </si>
  <si>
    <t>Observações: média mensal = total anual / 12 e a média diária = total anual / 365.</t>
  </si>
  <si>
    <t>Total de Usuários Pagantes do Banheiro</t>
  </si>
  <si>
    <t>Total de Usuários Pagantes de Banho</t>
  </si>
  <si>
    <t>Total de Etiquetas</t>
  </si>
  <si>
    <t>Sanitário</t>
  </si>
  <si>
    <t>Instalação</t>
  </si>
  <si>
    <t>Embarque</t>
  </si>
  <si>
    <t>Desembarque</t>
  </si>
  <si>
    <t>Masculino</t>
  </si>
  <si>
    <t>Área</t>
  </si>
  <si>
    <r>
      <t>72 a 95 m</t>
    </r>
    <r>
      <rPr>
        <vertAlign val="superscript"/>
        <sz val="10"/>
        <color theme="1"/>
        <rFont val="Calibri"/>
        <family val="2"/>
      </rPr>
      <t>2</t>
    </r>
  </si>
  <si>
    <r>
      <t>36 a 43 m</t>
    </r>
    <r>
      <rPr>
        <vertAlign val="superscript"/>
        <sz val="10"/>
        <color theme="1"/>
        <rFont val="Calibri"/>
        <family val="2"/>
      </rPr>
      <t>2</t>
    </r>
  </si>
  <si>
    <t>Lavatório</t>
  </si>
  <si>
    <t>8 a 10 un.</t>
  </si>
  <si>
    <t>7 a 8 un.</t>
  </si>
  <si>
    <t>Vasos Sanitários</t>
  </si>
  <si>
    <t>Chuveiros</t>
  </si>
  <si>
    <t>3 un.</t>
  </si>
  <si>
    <t>1 un.</t>
  </si>
  <si>
    <t>Mictórios</t>
  </si>
  <si>
    <t>20 a 25 un.</t>
  </si>
  <si>
    <t>10 a 13 un.</t>
  </si>
  <si>
    <t>Feminino</t>
  </si>
  <si>
    <r>
      <t>85 a 110 m</t>
    </r>
    <r>
      <rPr>
        <vertAlign val="superscript"/>
        <sz val="10"/>
        <color rgb="FF000000"/>
        <rFont val="Calibri"/>
        <family val="2"/>
      </rPr>
      <t>2</t>
    </r>
  </si>
  <si>
    <r>
      <t>43 a 55 m</t>
    </r>
    <r>
      <rPr>
        <vertAlign val="superscript"/>
        <sz val="10"/>
        <color rgb="FF000000"/>
        <rFont val="Calibri"/>
        <family val="2"/>
      </rPr>
      <t>2</t>
    </r>
  </si>
  <si>
    <t>12 a 14 un.</t>
  </si>
  <si>
    <t>5 a 6 un.</t>
  </si>
  <si>
    <t>6 un.</t>
  </si>
  <si>
    <t>2 un.</t>
  </si>
  <si>
    <t>Movimentação Total</t>
  </si>
  <si>
    <t>2015*</t>
  </si>
  <si>
    <t>* total anual / 12.</t>
  </si>
  <si>
    <t>** total anual / 365.</t>
  </si>
  <si>
    <t>*** valores de partidas estimados.</t>
  </si>
  <si>
    <t>Total de Embarques</t>
  </si>
  <si>
    <t>Total de Partidas de Ônibus</t>
  </si>
  <si>
    <t>Média de Embarques / Ônibus</t>
  </si>
  <si>
    <r>
      <t>2015</t>
    </r>
    <r>
      <rPr>
        <vertAlign val="superscript"/>
        <sz val="10"/>
        <color theme="1"/>
        <rFont val="Times New Roman"/>
        <family val="1"/>
      </rPr>
      <t>*</t>
    </r>
  </si>
  <si>
    <t>Observações:* valores de partidas estimados.</t>
  </si>
  <si>
    <t>Taxa de crescimento do PIB (cenário referencial)</t>
  </si>
  <si>
    <t>Taxa de crescimento do PIB (cenário transformador)</t>
  </si>
  <si>
    <t>base</t>
  </si>
  <si>
    <t>Movimentação Mensal de Ônibus no TERGIP.</t>
  </si>
  <si>
    <t xml:space="preserve"> Nov/20</t>
  </si>
  <si>
    <t xml:space="preserve"> Jul/20</t>
  </si>
  <si>
    <t xml:space="preserve"> Mar/20</t>
  </si>
  <si>
    <t xml:space="preserve"> Jun/20</t>
  </si>
  <si>
    <t xml:space="preserve"> Mai/20</t>
  </si>
  <si>
    <t xml:space="preserve"> Jan/20</t>
  </si>
  <si>
    <t xml:space="preserve"> Fev/20</t>
  </si>
  <si>
    <t xml:space="preserve"> Abr/20</t>
  </si>
  <si>
    <t xml:space="preserve"> Ago/20</t>
  </si>
  <si>
    <t xml:space="preserve"> Set/20</t>
  </si>
  <si>
    <t xml:space="preserve"> Out/20</t>
  </si>
  <si>
    <t xml:space="preserve"> Dez/20</t>
  </si>
  <si>
    <t>Observações: *total anual / 12. e **total anual / 365</t>
  </si>
  <si>
    <t>Fonte: PNL 2035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</si>
  <si>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</si>
  <si>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</si>
  <si>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</si>
  <si>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</si>
  <si>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</si>
  <si>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</si>
  <si>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</si>
  <si>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</si>
  <si>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</si>
  <si>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</si>
  <si>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</si>
  <si>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</si>
  <si>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</si>
  <si>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</si>
  <si>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</si>
  <si>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</si>
  <si>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</si>
  <si>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</si>
  <si>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</si>
  <si>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</si>
  <si>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</si>
  <si>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</si>
  <si>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</si>
  <si>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</si>
  <si>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</si>
  <si>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</si>
  <si>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</si>
  <si>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</si>
  <si>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</si>
  <si>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</si>
  <si>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Planilha</t>
  </si>
  <si>
    <t>Tipo</t>
  </si>
  <si>
    <t>Assunto</t>
  </si>
  <si>
    <t>Relação com planilha</t>
  </si>
  <si>
    <t>Arquivo de destino</t>
  </si>
  <si>
    <t>-</t>
  </si>
  <si>
    <t>EmbDesemBUS</t>
  </si>
  <si>
    <t>DADOS</t>
  </si>
  <si>
    <t>Dado original</t>
  </si>
  <si>
    <t>Gráfico 1</t>
  </si>
  <si>
    <t>Tabela 1</t>
  </si>
  <si>
    <t>Tabela 2</t>
  </si>
  <si>
    <t>Gráfico 2</t>
  </si>
  <si>
    <t>Tabela 3</t>
  </si>
  <si>
    <t>Gráfico 3</t>
  </si>
  <si>
    <t>Tabela 4</t>
  </si>
  <si>
    <t>Tabela 5</t>
  </si>
  <si>
    <t>Tabela 6</t>
  </si>
  <si>
    <t>Tabela 7</t>
  </si>
  <si>
    <t>Tabela 8</t>
  </si>
  <si>
    <t>Gráfico 4</t>
  </si>
  <si>
    <t>Tabela 9</t>
  </si>
  <si>
    <t>Tabela 10</t>
  </si>
  <si>
    <t>Tabela 11</t>
  </si>
  <si>
    <t>Tabela 12</t>
  </si>
  <si>
    <t>Tabela 13</t>
  </si>
  <si>
    <t>Tabela 14</t>
  </si>
  <si>
    <t>Tabela 15</t>
  </si>
  <si>
    <t>Tabela 16</t>
  </si>
  <si>
    <t>Gráfico 5</t>
  </si>
  <si>
    <t>Dados de movimentação de passageiros e de ônibus</t>
  </si>
  <si>
    <t>Análise dos dados de movimentação de passageiros e de ônibus</t>
  </si>
  <si>
    <t>Análise dos dados</t>
  </si>
  <si>
    <t>Resultados</t>
  </si>
  <si>
    <t>Estacionamento</t>
  </si>
  <si>
    <t>Estudo I_Projeção de Demanda (.doc)</t>
  </si>
  <si>
    <t>Movimentação Mensal de Passageiros nos Terminais (TERGIP, São Gabriel e José Cândido)</t>
  </si>
  <si>
    <t>Movimentação de Passageiros nos Terminais (TERGIP, São Gabriel e José Cândido) – Total por ano e médias mensais e diárias do total de embarques e desembarques</t>
  </si>
  <si>
    <t>Movimentação de Passageiros no TERGIP – Total por ano e médias mensais e diárias do total de embarques e desembarques</t>
  </si>
  <si>
    <t>Movimentação Mensal de Passageiros no TERGIP</t>
  </si>
  <si>
    <t>Sanitários</t>
  </si>
  <si>
    <t>Movimentação Mensal de Passageiros no TERGIP – Total, embarques e desembarques</t>
  </si>
  <si>
    <t>% Médio de Movimentação de Passageiros por Mês – 2015 a 2019 (embarques e desembarques)</t>
  </si>
  <si>
    <t>Utilização dos Estacionamentos do TERGIP</t>
  </si>
  <si>
    <t>Utilização dos Sanitários do TERGIP</t>
  </si>
  <si>
    <t>Exigências para Instalações Sanitárias em Terminais da Classe C</t>
  </si>
  <si>
    <t>Movimentação de Ônibus no TERGIP – Total por ano e médias mensais e diárias do total de partidas e chegadas</t>
  </si>
  <si>
    <t>Movimentação Mensal de Ônibus no TERGIP</t>
  </si>
  <si>
    <t>% Médio de Movimentação de Ônibus por Mês – 2015 a 2019 (partidas e chegadas)</t>
  </si>
  <si>
    <t>Média de Embarques por Ônibus no TERGIP</t>
  </si>
  <si>
    <t>Projeções de Crescimento Econômico à Longo Prazo</t>
  </si>
  <si>
    <t>Movimentação de Passageiros no TERGIP em 2020</t>
  </si>
  <si>
    <t>Movimentação de Ônibus no TERGIP em 2020</t>
  </si>
  <si>
    <t>Movimentação de usuários dos serviços de Estacionamento e Sanitários no TERGIP em 2020</t>
  </si>
  <si>
    <t>Projeções de Demanda de Transporte Interurbano De e Para Belo Horizonte</t>
  </si>
  <si>
    <t>Cálculo dos Índices de Aumento de Demanda por Cenário / Ano</t>
  </si>
  <si>
    <t>Estacionamento
Sanitários</t>
  </si>
  <si>
    <t>Embarques e desembarques no período de concessão - Cenário Otimista</t>
  </si>
  <si>
    <t>Embarques e desembarques no período de concessão - Cenário Intermediário</t>
  </si>
  <si>
    <t>Embarques e desembarques no período de concessão - Cenário Pessimista</t>
  </si>
  <si>
    <t>Quantidade de pessoas circulando no terminal no período de concessão - Cenário Otimista</t>
  </si>
  <si>
    <t>Quantidade de pessoas circulando no terminal no período de concessão - Cenário Intermediário</t>
  </si>
  <si>
    <t>Quantidade de pessoas circulando no terminal no período de concessão - Cenário Pessimista</t>
  </si>
  <si>
    <t>Utilização dos Sanitários</t>
  </si>
  <si>
    <t>Quantidade de pessoas que utilizam o sanitário no período de concessão - Cenário Otimista</t>
  </si>
  <si>
    <t>Quantidade de pessoas que utilizam o sanitário no período de concessão - Cenário Intermediário</t>
  </si>
  <si>
    <t>Quantidade de pessoas que utilizam o estacionamento no período de concessão - Cenário Otimista</t>
  </si>
  <si>
    <t>Quantidade de pessoas que utilizam o estacionamento no período de concessão - Cenário Intermediário</t>
  </si>
  <si>
    <t>Quantidade de pessoas que utilizam o estacionamento no período de concessão - Cenário Pessimista</t>
  </si>
  <si>
    <t>Quantidade de pessoas que utilizam o sanitário no período de concessão - Cenário Pessimista</t>
  </si>
  <si>
    <t>Embarques e desembarques no período de concessão para os cenários Pessimista, Intermeciário e Otimista</t>
  </si>
  <si>
    <t>Variação do PIB, variação anual da população e demanda de passageiros</t>
  </si>
  <si>
    <t>Projeção de Demanda de Passageiros para cada um dos Cenários - 2021 a 2051</t>
  </si>
  <si>
    <t>Variação anual do PIB</t>
  </si>
  <si>
    <t>Variação anual da população</t>
  </si>
  <si>
    <t>Movimentação de usuários do serviço de Estacionamento</t>
  </si>
  <si>
    <t>Movimentação de usuários do serviço de Sanitários</t>
  </si>
  <si>
    <t>Chegadas de Ônibus no TERGIP – Total por ano e médias mensais e diárias</t>
  </si>
  <si>
    <t>Partidas de Ônibus no TERGIP – Total por ano e médias mensais e diárias</t>
  </si>
  <si>
    <t>Embarques de Passageiros no TERGIP – Total por ano e médias mensais e diárias</t>
  </si>
  <si>
    <t>Desembarques de Passageiros no TERGIP – Total por ano e médias mensais e diárias</t>
  </si>
  <si>
    <t>Tabela 17</t>
  </si>
  <si>
    <t>Tabela 18</t>
  </si>
  <si>
    <t>Tabela 19 e Gráfico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</si>
</sst>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%"/>
    <numFmt numFmtId="165" formatCode="0.0"/>
    <numFmt numFmtId="166" formatCode="[$-416]mmm\-yy;@"/>
    <numFmt numFmtId="167" formatCode="[$-409]mmm\-yy;@"/>
    <numFmt numFmtId="168" formatCode="0.000%"/>
  </numFmts>
  <fonts count="4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5F5F62"/>
      <name val="Arial"/>
      <family val="2"/>
    </font>
    <font>
      <sz val="11"/>
      <color rgb="FF6B6B6F"/>
      <name val="Courier New"/>
      <family val="3"/>
    </font>
    <font>
      <b/>
      <sz val="11"/>
      <color rgb="FF202122"/>
      <name val="Arial"/>
      <family val="2"/>
    </font>
    <font>
      <vertAlign val="superscript"/>
      <sz val="7"/>
      <color rgb="FF0645AD"/>
      <name val="Arial"/>
      <family val="2"/>
    </font>
    <font>
      <sz val="11"/>
      <color rgb="FF202122"/>
      <name val="Arial"/>
      <family val="2"/>
    </font>
    <font>
      <sz val="11"/>
      <color rgb="FF0645AD"/>
      <name val="Arial"/>
      <family val="2"/>
    </font>
    <font>
      <sz val="11"/>
      <color rgb="FF808080"/>
      <name val="Arial"/>
      <family val="2"/>
    </font>
    <font>
      <b/>
      <sz val="11"/>
      <color rgb="FF808080"/>
      <name val="Arial"/>
      <family val="2"/>
    </font>
    <font>
      <b/>
      <sz val="9"/>
      <color rgb="FF808080"/>
      <name val="Arial"/>
      <family val="2"/>
    </font>
    <font>
      <sz val="9"/>
      <color rgb="FF808080"/>
      <name val="Arial"/>
      <family val="2"/>
    </font>
    <font>
      <b/>
      <sz val="11"/>
      <color rgb="FF008000"/>
      <name val="Arial"/>
      <family val="2"/>
    </font>
    <font>
      <b/>
      <sz val="11"/>
      <color rgb="FF0645AD"/>
      <name val="Arial"/>
      <family val="2"/>
    </font>
    <font>
      <b/>
      <sz val="9"/>
      <color rgb="FFFF0000"/>
      <name val="Arial"/>
      <family val="2"/>
    </font>
    <font>
      <b/>
      <sz val="9"/>
      <color rgb="FF008000"/>
      <name val="Arial"/>
      <family val="2"/>
    </font>
    <font>
      <b/>
      <sz val="11"/>
      <color rgb="FFFF0000"/>
      <name val="Arial"/>
      <family val="2"/>
    </font>
    <font>
      <u/>
      <sz val="11"/>
      <color rgb="FF202122"/>
      <name val="Arial"/>
      <family val="2"/>
    </font>
    <font>
      <sz val="11"/>
      <color indexed="64"/>
      <name val="Calibri"/>
      <family val="2"/>
      <scheme val="minor"/>
    </font>
    <font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  <font>
      <sz val="12"/>
      <color rgb="FF333333"/>
      <name val="Arial"/>
      <family val="2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b/>
      <sz val="10"/>
      <color rgb="FFFFFFFF"/>
      <name val="Calibri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b/>
      <sz val="10"/>
      <color theme="1"/>
      <name val="Calibri"/>
      <family val="2"/>
    </font>
    <font>
      <b/>
      <sz val="10"/>
      <color rgb="FF000000"/>
      <name val="Calibri"/>
      <family val="2"/>
    </font>
    <font>
      <sz val="10"/>
      <color rgb="FFFF0000"/>
      <name val="Calibri"/>
      <family val="2"/>
    </font>
    <font>
      <sz val="10"/>
      <name val="Calibri"/>
      <family val="2"/>
    </font>
    <font>
      <sz val="10"/>
      <name val="Times New Roman"/>
      <family val="1"/>
      <charset val="204"/>
    </font>
    <font>
      <sz val="7"/>
      <color indexed="8"/>
      <name val="Arial"/>
      <family val="2"/>
    </font>
    <font>
      <b/>
      <sz val="7"/>
      <color indexed="8"/>
      <name val="Times New Roman"/>
      <family val="2"/>
    </font>
    <font>
      <b/>
      <sz val="7"/>
      <color indexed="8"/>
      <name val="Times New Roman"/>
      <family val="1"/>
      <charset val="204"/>
    </font>
    <font>
      <sz val="7"/>
      <color indexed="8"/>
      <name val="Times New Roman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vertAlign val="superscript"/>
      <sz val="10"/>
      <color rgb="FFFFFFFF"/>
      <name val="Calibri"/>
      <family val="2"/>
    </font>
    <font>
      <vertAlign val="superscript"/>
      <sz val="10"/>
      <color theme="1"/>
      <name val="Calibri"/>
      <family val="2"/>
    </font>
    <font>
      <sz val="9"/>
      <color theme="1"/>
      <name val="Calibri"/>
      <family val="2"/>
    </font>
    <font>
      <vertAlign val="superscript"/>
      <sz val="10"/>
      <color rgb="FF000000"/>
      <name val="Calibri"/>
      <family val="2"/>
    </font>
    <font>
      <vertAlign val="superscript"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AEAE9"/>
        <bgColor indexed="64"/>
      </patternFill>
    </fill>
    <fill>
      <patternFill patternType="solid">
        <fgColor rgb="FFF8F9FA"/>
        <bgColor indexed="64"/>
      </patternFill>
    </fill>
    <fill>
      <patternFill patternType="solid">
        <fgColor rgb="FFEAECF0"/>
        <bgColor indexed="64"/>
      </patternFill>
    </fill>
    <fill>
      <patternFill patternType="solid">
        <fgColor rgb="FF5E98C4"/>
        <bgColor indexed="64"/>
      </patternFill>
    </fill>
    <fill>
      <patternFill patternType="solid">
        <fgColor rgb="FFEDF3F8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EFEFE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2E74B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-0.499984740745262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rgb="FF57585A"/>
      </left>
      <right style="medium">
        <color rgb="FF57585A"/>
      </right>
      <top style="medium">
        <color rgb="FF57585A"/>
      </top>
      <bottom style="medium">
        <color rgb="FF57585A"/>
      </bottom>
      <diagonal/>
    </border>
    <border>
      <left style="medium">
        <color rgb="FFA2A9B1"/>
      </left>
      <right style="medium">
        <color rgb="FFA2A9B1"/>
      </right>
      <top style="medium">
        <color rgb="FFA2A9B1"/>
      </top>
      <bottom style="medium">
        <color rgb="FFA2A9B1"/>
      </bottom>
      <diagonal/>
    </border>
    <border>
      <left style="medium">
        <color rgb="FFA2A9B1"/>
      </left>
      <right style="medium">
        <color rgb="FFA2A9B1"/>
      </right>
      <top style="medium">
        <color rgb="FFA2A9B1"/>
      </top>
      <bottom/>
      <diagonal/>
    </border>
    <border>
      <left style="medium">
        <color rgb="FFA2A9B1"/>
      </left>
      <right style="medium">
        <color rgb="FFA2A9B1"/>
      </right>
      <top/>
      <bottom style="medium">
        <color rgb="FFA2A9B1"/>
      </bottom>
      <diagonal/>
    </border>
    <border>
      <left style="medium">
        <color rgb="FFA2A9B1"/>
      </left>
      <right style="medium">
        <color rgb="FFA2A9B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rgb="FFDDDDDD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FFFFFF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20" fillId="0" borderId="0"/>
    <xf numFmtId="9" fontId="39" fillId="0" borderId="0" applyFont="0" applyFill="0" applyBorder="0" applyAlignment="0" applyProtection="0"/>
  </cellStyleXfs>
  <cellXfs count="277">
    <xf numFmtId="0" fontId="0" fillId="0" borderId="0" xfId="0"/>
    <xf numFmtId="17" fontId="0" fillId="0" borderId="0" xfId="0" applyNumberFormat="1"/>
    <xf numFmtId="3" fontId="0" fillId="0" borderId="0" xfId="0" applyNumberFormat="1"/>
    <xf numFmtId="164" fontId="0" fillId="0" borderId="0" xfId="0" applyNumberFormat="1"/>
    <xf numFmtId="3" fontId="0" fillId="2" borderId="0" xfId="0" applyNumberFormat="1" applyFill="1"/>
    <xf numFmtId="10" fontId="0" fillId="0" borderId="0" xfId="0" applyNumberFormat="1"/>
    <xf numFmtId="3" fontId="0" fillId="0" borderId="0" xfId="0" applyNumberFormat="1" applyFill="1"/>
    <xf numFmtId="0" fontId="0" fillId="0" borderId="4" xfId="0" applyBorder="1"/>
    <xf numFmtId="0" fontId="0" fillId="0" borderId="0" xfId="0" applyBorder="1"/>
    <xf numFmtId="0" fontId="0" fillId="0" borderId="5" xfId="0" applyBorder="1"/>
    <xf numFmtId="3" fontId="0" fillId="0" borderId="0" xfId="0" applyNumberFormat="1" applyBorder="1"/>
    <xf numFmtId="3" fontId="1" fillId="0" borderId="0" xfId="0" applyNumberFormat="1" applyFont="1" applyBorder="1"/>
    <xf numFmtId="3" fontId="0" fillId="2" borderId="0" xfId="0" applyNumberFormat="1" applyFill="1" applyBorder="1"/>
    <xf numFmtId="3" fontId="0" fillId="0" borderId="4" xfId="0" applyNumberFormat="1" applyBorder="1"/>
    <xf numFmtId="10" fontId="0" fillId="0" borderId="0" xfId="0" applyNumberFormat="1" applyBorder="1"/>
    <xf numFmtId="10" fontId="1" fillId="0" borderId="0" xfId="0" applyNumberFormat="1" applyFont="1" applyBorder="1"/>
    <xf numFmtId="164" fontId="0" fillId="0" borderId="0" xfId="0" applyNumberFormat="1" applyBorder="1"/>
    <xf numFmtId="3" fontId="0" fillId="0" borderId="4" xfId="0" applyNumberFormat="1" applyFill="1" applyBorder="1"/>
    <xf numFmtId="3" fontId="0" fillId="0" borderId="0" xfId="0" applyNumberFormat="1" applyFill="1" applyBorder="1"/>
    <xf numFmtId="3" fontId="0" fillId="0" borderId="6" xfId="0" applyNumberFormat="1" applyBorder="1"/>
    <xf numFmtId="3" fontId="0" fillId="0" borderId="7" xfId="0" applyNumberFormat="1" applyBorder="1"/>
    <xf numFmtId="164" fontId="0" fillId="0" borderId="7" xfId="0" applyNumberFormat="1" applyBorder="1"/>
    <xf numFmtId="0" fontId="0" fillId="0" borderId="7" xfId="0" applyBorder="1"/>
    <xf numFmtId="0" fontId="0" fillId="0" borderId="8" xfId="0" applyBorder="1"/>
    <xf numFmtId="0" fontId="0" fillId="0" borderId="0" xfId="0" applyFill="1" applyBorder="1"/>
    <xf numFmtId="0" fontId="2" fillId="0" borderId="0" xfId="0" applyFont="1" applyBorder="1" applyAlignment="1">
      <alignment horizontal="center"/>
    </xf>
    <xf numFmtId="0" fontId="0" fillId="3" borderId="0" xfId="0" applyFill="1" applyBorder="1"/>
    <xf numFmtId="0" fontId="0" fillId="4" borderId="0" xfId="0" applyFill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0" xfId="0" applyFont="1" applyFill="1"/>
    <xf numFmtId="0" fontId="0" fillId="0" borderId="0" xfId="0" applyFill="1"/>
    <xf numFmtId="164" fontId="2" fillId="0" borderId="0" xfId="0" applyNumberFormat="1" applyFont="1" applyFill="1"/>
    <xf numFmtId="165" fontId="0" fillId="0" borderId="0" xfId="0" applyNumberFormat="1" applyBorder="1"/>
    <xf numFmtId="2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4" fontId="0" fillId="0" borderId="0" xfId="0" applyNumberFormat="1" applyAlignment="1">
      <alignment horizontal="right" vertical="center"/>
    </xf>
    <xf numFmtId="4" fontId="0" fillId="2" borderId="0" xfId="0" applyNumberForma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1" applyAlignment="1">
      <alignment vertical="center"/>
    </xf>
    <xf numFmtId="0" fontId="4" fillId="5" borderId="9" xfId="0" applyFont="1" applyFill="1" applyBorder="1" applyAlignment="1">
      <alignment horizontal="left" vertical="center" wrapText="1" indent="1"/>
    </xf>
    <xf numFmtId="3" fontId="5" fillId="0" borderId="9" xfId="0" applyNumberFormat="1" applyFont="1" applyBorder="1" applyAlignment="1">
      <alignment horizontal="right" vertical="center" wrapText="1" indent="1"/>
    </xf>
    <xf numFmtId="10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6" fillId="7" borderId="10" xfId="0" applyFont="1" applyFill="1" applyBorder="1" applyAlignment="1">
      <alignment horizontal="center" vertical="center" wrapText="1"/>
    </xf>
    <xf numFmtId="0" fontId="3" fillId="7" borderId="10" xfId="1" applyFill="1" applyBorder="1" applyAlignment="1">
      <alignment horizontal="center" vertical="center" wrapText="1"/>
    </xf>
    <xf numFmtId="10" fontId="11" fillId="6" borderId="11" xfId="0" applyNumberFormat="1" applyFont="1" applyFill="1" applyBorder="1" applyAlignment="1">
      <alignment vertical="center" wrapText="1"/>
    </xf>
    <xf numFmtId="0" fontId="12" fillId="6" borderId="12" xfId="0" applyFont="1" applyFill="1" applyBorder="1" applyAlignment="1">
      <alignment vertical="center" wrapText="1"/>
    </xf>
    <xf numFmtId="0" fontId="3" fillId="6" borderId="10" xfId="1" applyFill="1" applyBorder="1" applyAlignment="1">
      <alignment vertical="center" wrapText="1"/>
    </xf>
    <xf numFmtId="10" fontId="14" fillId="6" borderId="10" xfId="0" applyNumberFormat="1" applyFont="1" applyFill="1" applyBorder="1" applyAlignment="1">
      <alignment vertical="center" wrapText="1"/>
    </xf>
    <xf numFmtId="4" fontId="14" fillId="6" borderId="10" xfId="0" applyNumberFormat="1" applyFont="1" applyFill="1" applyBorder="1" applyAlignment="1">
      <alignment vertical="center" wrapText="1"/>
    </xf>
    <xf numFmtId="4" fontId="8" fillId="6" borderId="10" xfId="0" applyNumberFormat="1" applyFont="1" applyFill="1" applyBorder="1" applyAlignment="1">
      <alignment vertical="center" wrapText="1"/>
    </xf>
    <xf numFmtId="0" fontId="10" fillId="6" borderId="10" xfId="0" applyFont="1" applyFill="1" applyBorder="1" applyAlignment="1">
      <alignment vertical="center" wrapText="1"/>
    </xf>
    <xf numFmtId="10" fontId="11" fillId="6" borderId="10" xfId="0" applyNumberFormat="1" applyFont="1" applyFill="1" applyBorder="1" applyAlignment="1">
      <alignment vertical="center" wrapText="1"/>
    </xf>
    <xf numFmtId="0" fontId="11" fillId="6" borderId="10" xfId="0" applyFont="1" applyFill="1" applyBorder="1" applyAlignment="1">
      <alignment vertical="center" wrapText="1"/>
    </xf>
    <xf numFmtId="10" fontId="15" fillId="6" borderId="10" xfId="0" applyNumberFormat="1" applyFont="1" applyFill="1" applyBorder="1" applyAlignment="1">
      <alignment vertical="center" wrapText="1"/>
    </xf>
    <xf numFmtId="0" fontId="8" fillId="6" borderId="10" xfId="0" applyFont="1" applyFill="1" applyBorder="1" applyAlignment="1">
      <alignment vertical="center" wrapText="1"/>
    </xf>
    <xf numFmtId="10" fontId="18" fillId="6" borderId="10" xfId="0" applyNumberFormat="1" applyFont="1" applyFill="1" applyBorder="1" applyAlignment="1">
      <alignment vertical="center" wrapText="1"/>
    </xf>
    <xf numFmtId="4" fontId="18" fillId="6" borderId="10" xfId="0" applyNumberFormat="1" applyFont="1" applyFill="1" applyBorder="1" applyAlignment="1">
      <alignment vertical="center" wrapText="1"/>
    </xf>
    <xf numFmtId="4" fontId="19" fillId="6" borderId="10" xfId="0" applyNumberFormat="1" applyFont="1" applyFill="1" applyBorder="1" applyAlignment="1">
      <alignment vertical="center" wrapText="1"/>
    </xf>
    <xf numFmtId="0" fontId="20" fillId="0" borderId="0" xfId="2"/>
    <xf numFmtId="0" fontId="22" fillId="9" borderId="14" xfId="2" applyFont="1" applyFill="1" applyBorder="1" applyAlignment="1">
      <alignment horizontal="left" vertical="center"/>
    </xf>
    <xf numFmtId="0" fontId="22" fillId="10" borderId="14" xfId="2" applyFont="1" applyFill="1" applyBorder="1" applyAlignment="1">
      <alignment horizontal="left" vertical="center"/>
    </xf>
    <xf numFmtId="0" fontId="22" fillId="0" borderId="14" xfId="2" applyFont="1" applyBorder="1" applyAlignment="1">
      <alignment horizontal="right" vertical="center"/>
    </xf>
    <xf numFmtId="0" fontId="22" fillId="0" borderId="15" xfId="2" applyFont="1" applyBorder="1" applyAlignment="1">
      <alignment horizontal="right" vertical="center"/>
    </xf>
    <xf numFmtId="4" fontId="20" fillId="0" borderId="0" xfId="2" applyNumberFormat="1"/>
    <xf numFmtId="10" fontId="20" fillId="0" borderId="0" xfId="2" applyNumberFormat="1"/>
    <xf numFmtId="0" fontId="23" fillId="12" borderId="16" xfId="0" applyFont="1" applyFill="1" applyBorder="1" applyAlignment="1">
      <alignment horizontal="left" vertical="center" wrapText="1"/>
    </xf>
    <xf numFmtId="10" fontId="23" fillId="12" borderId="16" xfId="0" applyNumberFormat="1" applyFont="1" applyFill="1" applyBorder="1" applyAlignment="1">
      <alignment horizontal="right" vertical="center" wrapText="1"/>
    </xf>
    <xf numFmtId="0" fontId="24" fillId="11" borderId="0" xfId="0" applyFont="1" applyFill="1"/>
    <xf numFmtId="0" fontId="23" fillId="2" borderId="16" xfId="0" applyFont="1" applyFill="1" applyBorder="1" applyAlignment="1">
      <alignment horizontal="left" vertical="center" wrapText="1"/>
    </xf>
    <xf numFmtId="10" fontId="0" fillId="2" borderId="0" xfId="0" applyNumberFormat="1" applyFill="1"/>
    <xf numFmtId="0" fontId="25" fillId="0" borderId="0" xfId="0" applyFont="1" applyAlignment="1">
      <alignment horizontal="left" vertical="center" wrapText="1"/>
    </xf>
    <xf numFmtId="0" fontId="24" fillId="11" borderId="0" xfId="0" applyFont="1" applyFill="1" applyAlignment="1">
      <alignment horizontal="center" vertical="center" wrapText="1"/>
    </xf>
    <xf numFmtId="3" fontId="0" fillId="0" borderId="0" xfId="0" applyNumberFormat="1" applyAlignment="1">
      <alignment vertical="center"/>
    </xf>
    <xf numFmtId="3" fontId="2" fillId="0" borderId="0" xfId="0" applyNumberFormat="1" applyFont="1"/>
    <xf numFmtId="0" fontId="2" fillId="0" borderId="0" xfId="0" applyFont="1"/>
    <xf numFmtId="0" fontId="26" fillId="13" borderId="0" xfId="0" applyFont="1" applyFill="1" applyAlignment="1">
      <alignment horizontal="center" vertical="center" wrapText="1"/>
    </xf>
    <xf numFmtId="17" fontId="27" fillId="0" borderId="0" xfId="0" applyNumberFormat="1" applyFont="1" applyAlignment="1">
      <alignment vertical="center" wrapText="1"/>
    </xf>
    <xf numFmtId="0" fontId="27" fillId="0" borderId="0" xfId="0" applyFont="1" applyAlignment="1">
      <alignment horizontal="right" vertical="center" wrapText="1"/>
    </xf>
    <xf numFmtId="17" fontId="28" fillId="14" borderId="0" xfId="0" applyNumberFormat="1" applyFont="1" applyFill="1" applyAlignment="1">
      <alignment vertical="center" wrapText="1"/>
    </xf>
    <xf numFmtId="0" fontId="29" fillId="0" borderId="0" xfId="0" applyFont="1" applyAlignment="1">
      <alignment vertical="center" wrapText="1"/>
    </xf>
    <xf numFmtId="0" fontId="30" fillId="14" borderId="0" xfId="0" applyFont="1" applyFill="1" applyAlignment="1">
      <alignment vertical="center" wrapText="1"/>
    </xf>
    <xf numFmtId="0" fontId="29" fillId="0" borderId="17" xfId="0" applyFont="1" applyBorder="1" applyAlignment="1">
      <alignment vertical="center" wrapText="1"/>
    </xf>
    <xf numFmtId="3" fontId="27" fillId="0" borderId="0" xfId="0" applyNumberFormat="1" applyFont="1" applyAlignment="1">
      <alignment horizontal="right" vertical="center" wrapText="1"/>
    </xf>
    <xf numFmtId="3" fontId="27" fillId="14" borderId="0" xfId="0" applyNumberFormat="1" applyFont="1" applyFill="1" applyAlignment="1">
      <alignment horizontal="right" vertical="center" wrapText="1"/>
    </xf>
    <xf numFmtId="3" fontId="29" fillId="0" borderId="0" xfId="0" applyNumberFormat="1" applyFont="1" applyAlignment="1">
      <alignment horizontal="right" vertical="center" wrapText="1"/>
    </xf>
    <xf numFmtId="3" fontId="29" fillId="14" borderId="0" xfId="0" applyNumberFormat="1" applyFont="1" applyFill="1" applyAlignment="1">
      <alignment horizontal="right" vertical="center" wrapText="1"/>
    </xf>
    <xf numFmtId="3" fontId="29" fillId="0" borderId="17" xfId="0" applyNumberFormat="1" applyFont="1" applyBorder="1" applyAlignment="1">
      <alignment horizontal="right" vertical="center" wrapText="1"/>
    </xf>
    <xf numFmtId="3" fontId="28" fillId="14" borderId="0" xfId="0" applyNumberFormat="1" applyFont="1" applyFill="1" applyAlignment="1">
      <alignment horizontal="right" vertical="center" wrapText="1"/>
    </xf>
    <xf numFmtId="3" fontId="30" fillId="14" borderId="0" xfId="0" applyNumberFormat="1" applyFont="1" applyFill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26" fillId="13" borderId="18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8" fillId="14" borderId="0" xfId="0" applyFont="1" applyFill="1" applyAlignment="1">
      <alignment horizontal="center" vertical="center" wrapText="1"/>
    </xf>
    <xf numFmtId="10" fontId="31" fillId="14" borderId="0" xfId="0" applyNumberFormat="1" applyFont="1" applyFill="1" applyAlignment="1">
      <alignment horizontal="right" vertical="center" wrapText="1"/>
    </xf>
    <xf numFmtId="10" fontId="27" fillId="0" borderId="0" xfId="0" applyNumberFormat="1" applyFont="1" applyAlignment="1">
      <alignment horizontal="right" vertical="center" wrapText="1"/>
    </xf>
    <xf numFmtId="10" fontId="28" fillId="14" borderId="0" xfId="0" applyNumberFormat="1" applyFont="1" applyFill="1" applyAlignment="1">
      <alignment horizontal="right" vertical="center" wrapText="1"/>
    </xf>
    <xf numFmtId="0" fontId="28" fillId="14" borderId="17" xfId="0" applyFont="1" applyFill="1" applyBorder="1" applyAlignment="1">
      <alignment horizontal="center" vertical="center" wrapText="1"/>
    </xf>
    <xf numFmtId="3" fontId="28" fillId="14" borderId="17" xfId="0" applyNumberFormat="1" applyFont="1" applyFill="1" applyBorder="1" applyAlignment="1">
      <alignment horizontal="right" vertical="center" wrapText="1"/>
    </xf>
    <xf numFmtId="10" fontId="31" fillId="14" borderId="17" xfId="0" applyNumberFormat="1" applyFont="1" applyFill="1" applyBorder="1" applyAlignment="1">
      <alignment horizontal="right" vertical="center" wrapText="1"/>
    </xf>
    <xf numFmtId="10" fontId="27" fillId="14" borderId="0" xfId="0" applyNumberFormat="1" applyFont="1" applyFill="1" applyAlignment="1">
      <alignment horizontal="right" vertical="center" wrapText="1"/>
    </xf>
    <xf numFmtId="1" fontId="27" fillId="0" borderId="0" xfId="0" applyNumberFormat="1" applyFont="1" applyAlignment="1">
      <alignment horizontal="center" vertical="center" wrapText="1"/>
    </xf>
    <xf numFmtId="1" fontId="28" fillId="14" borderId="0" xfId="0" applyNumberFormat="1" applyFont="1" applyFill="1" applyAlignment="1">
      <alignment horizontal="center" vertical="center" wrapText="1"/>
    </xf>
    <xf numFmtId="1" fontId="27" fillId="0" borderId="0" xfId="0" applyNumberFormat="1" applyFont="1" applyAlignment="1">
      <alignment horizontal="right" vertical="center" wrapText="1"/>
    </xf>
    <xf numFmtId="1" fontId="28" fillId="14" borderId="0" xfId="0" applyNumberFormat="1" applyFont="1" applyFill="1" applyAlignment="1">
      <alignment horizontal="right" vertical="center" wrapText="1"/>
    </xf>
    <xf numFmtId="0" fontId="26" fillId="13" borderId="0" xfId="0" applyFont="1" applyFill="1" applyAlignment="1">
      <alignment horizontal="center" vertical="center" wrapText="1"/>
    </xf>
    <xf numFmtId="0" fontId="26" fillId="13" borderId="18" xfId="0" applyFont="1" applyFill="1" applyBorder="1" applyAlignment="1">
      <alignment horizontal="center" vertical="center" wrapText="1"/>
    </xf>
    <xf numFmtId="0" fontId="26" fillId="13" borderId="0" xfId="0" applyFont="1" applyFill="1" applyAlignment="1">
      <alignment horizontal="center" vertical="center" wrapText="1"/>
    </xf>
    <xf numFmtId="3" fontId="27" fillId="15" borderId="0" xfId="0" applyNumberFormat="1" applyFont="1" applyFill="1" applyAlignment="1">
      <alignment horizontal="right" vertical="center" wrapText="1"/>
    </xf>
    <xf numFmtId="0" fontId="26" fillId="13" borderId="0" xfId="0" applyFont="1" applyFill="1" applyAlignment="1">
      <alignment horizontal="center" vertical="center" wrapText="1"/>
    </xf>
    <xf numFmtId="10" fontId="2" fillId="0" borderId="0" xfId="0" applyNumberFormat="1" applyFont="1"/>
    <xf numFmtId="10" fontId="31" fillId="0" borderId="0" xfId="0" applyNumberFormat="1" applyFont="1" applyAlignment="1">
      <alignment horizontal="right" vertical="center" wrapText="1"/>
    </xf>
    <xf numFmtId="10" fontId="32" fillId="14" borderId="0" xfId="0" applyNumberFormat="1" applyFont="1" applyFill="1" applyAlignment="1">
      <alignment horizontal="right" vertical="center" wrapText="1"/>
    </xf>
    <xf numFmtId="2" fontId="0" fillId="2" borderId="0" xfId="0" applyNumberFormat="1" applyFill="1"/>
    <xf numFmtId="0" fontId="33" fillId="0" borderId="0" xfId="0" applyFont="1" applyAlignment="1">
      <alignment vertical="top" wrapText="1"/>
    </xf>
    <xf numFmtId="0" fontId="35" fillId="0" borderId="19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left" vertical="top" wrapText="1" indent="1"/>
    </xf>
    <xf numFmtId="0" fontId="35" fillId="0" borderId="20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top" wrapText="1"/>
    </xf>
    <xf numFmtId="0" fontId="35" fillId="0" borderId="20" xfId="0" applyFont="1" applyBorder="1" applyAlignment="1">
      <alignment horizontal="left" vertical="center" wrapText="1" indent="1"/>
    </xf>
    <xf numFmtId="0" fontId="36" fillId="0" borderId="19" xfId="0" applyFont="1" applyBorder="1" applyAlignment="1">
      <alignment horizontal="left" vertical="top" wrapText="1"/>
    </xf>
    <xf numFmtId="0" fontId="35" fillId="0" borderId="19" xfId="0" applyFont="1" applyBorder="1" applyAlignment="1">
      <alignment horizontal="left" vertical="top" wrapText="1"/>
    </xf>
    <xf numFmtId="0" fontId="36" fillId="0" borderId="21" xfId="0" applyFont="1" applyBorder="1" applyAlignment="1">
      <alignment horizontal="left" vertical="top" wrapText="1"/>
    </xf>
    <xf numFmtId="0" fontId="33" fillId="0" borderId="0" xfId="0" applyFont="1" applyAlignment="1">
      <alignment horizontal="left" vertical="top"/>
    </xf>
    <xf numFmtId="1" fontId="34" fillId="11" borderId="24" xfId="0" applyNumberFormat="1" applyFont="1" applyFill="1" applyBorder="1" applyAlignment="1">
      <alignment horizontal="right" vertical="center" shrinkToFit="1"/>
    </xf>
    <xf numFmtId="1" fontId="34" fillId="11" borderId="26" xfId="0" applyNumberFormat="1" applyFont="1" applyFill="1" applyBorder="1" applyAlignment="1">
      <alignment horizontal="right" vertical="center" shrinkToFit="1"/>
    </xf>
    <xf numFmtId="1" fontId="34" fillId="0" borderId="0" xfId="0" applyNumberFormat="1" applyFont="1" applyAlignment="1">
      <alignment horizontal="right" vertical="center" shrinkToFit="1"/>
    </xf>
    <xf numFmtId="1" fontId="34" fillId="0" borderId="22" xfId="0" applyNumberFormat="1" applyFont="1" applyBorder="1" applyAlignment="1">
      <alignment horizontal="right" vertical="center" shrinkToFit="1"/>
    </xf>
    <xf numFmtId="1" fontId="34" fillId="11" borderId="0" xfId="0" applyNumberFormat="1" applyFont="1" applyFill="1" applyAlignment="1">
      <alignment horizontal="right" vertical="center" shrinkToFit="1"/>
    </xf>
    <xf numFmtId="1" fontId="34" fillId="11" borderId="22" xfId="0" applyNumberFormat="1" applyFont="1" applyFill="1" applyBorder="1" applyAlignment="1">
      <alignment horizontal="right" vertical="center" shrinkToFit="1"/>
    </xf>
    <xf numFmtId="1" fontId="34" fillId="11" borderId="25" xfId="0" applyNumberFormat="1" applyFont="1" applyFill="1" applyBorder="1" applyAlignment="1">
      <alignment horizontal="right" vertical="center" shrinkToFit="1"/>
    </xf>
    <xf numFmtId="0" fontId="33" fillId="11" borderId="24" xfId="0" applyFont="1" applyFill="1" applyBorder="1" applyAlignment="1">
      <alignment horizontal="right" vertical="center" wrapText="1"/>
    </xf>
    <xf numFmtId="1" fontId="34" fillId="0" borderId="27" xfId="0" applyNumberFormat="1" applyFont="1" applyBorder="1" applyAlignment="1">
      <alignment horizontal="right" vertical="center" shrinkToFit="1"/>
    </xf>
    <xf numFmtId="0" fontId="33" fillId="0" borderId="0" xfId="0" applyFont="1" applyAlignment="1">
      <alignment horizontal="right" vertical="center" wrapText="1"/>
    </xf>
    <xf numFmtId="1" fontId="34" fillId="11" borderId="27" xfId="0" applyNumberFormat="1" applyFont="1" applyFill="1" applyBorder="1" applyAlignment="1">
      <alignment horizontal="right" vertical="center" shrinkToFit="1"/>
    </xf>
    <xf numFmtId="0" fontId="33" fillId="11" borderId="0" xfId="0" applyFont="1" applyFill="1" applyAlignment="1">
      <alignment horizontal="right" vertical="center" wrapText="1"/>
    </xf>
    <xf numFmtId="1" fontId="0" fillId="0" borderId="0" xfId="0" applyNumberFormat="1"/>
    <xf numFmtId="1" fontId="38" fillId="11" borderId="26" xfId="0" applyNumberFormat="1" applyFont="1" applyFill="1" applyBorder="1" applyAlignment="1">
      <alignment horizontal="right" vertical="center" shrinkToFit="1"/>
    </xf>
    <xf numFmtId="1" fontId="38" fillId="0" borderId="22" xfId="0" applyNumberFormat="1" applyFont="1" applyBorder="1" applyAlignment="1">
      <alignment horizontal="right" vertical="center" shrinkToFit="1"/>
    </xf>
    <xf numFmtId="1" fontId="38" fillId="11" borderId="22" xfId="0" applyNumberFormat="1" applyFont="1" applyFill="1" applyBorder="1" applyAlignment="1">
      <alignment horizontal="right" vertical="center" shrinkToFit="1"/>
    </xf>
    <xf numFmtId="3" fontId="38" fillId="11" borderId="22" xfId="0" applyNumberFormat="1" applyFont="1" applyFill="1" applyBorder="1" applyAlignment="1">
      <alignment horizontal="right" vertical="center" shrinkToFit="1"/>
    </xf>
    <xf numFmtId="3" fontId="38" fillId="0" borderId="22" xfId="0" applyNumberFormat="1" applyFont="1" applyBorder="1" applyAlignment="1">
      <alignment horizontal="right" vertical="center" shrinkToFit="1"/>
    </xf>
    <xf numFmtId="0" fontId="26" fillId="13" borderId="0" xfId="0" applyFont="1" applyFill="1" applyAlignment="1">
      <alignment horizontal="center" vertical="center" wrapText="1"/>
    </xf>
    <xf numFmtId="3" fontId="28" fillId="0" borderId="0" xfId="0" applyNumberFormat="1" applyFont="1" applyAlignment="1">
      <alignment horizontal="right" vertical="center" wrapText="1"/>
    </xf>
    <xf numFmtId="3" fontId="28" fillId="0" borderId="17" xfId="0" applyNumberFormat="1" applyFont="1" applyBorder="1" applyAlignment="1">
      <alignment horizontal="right" vertical="center" wrapText="1"/>
    </xf>
    <xf numFmtId="166" fontId="0" fillId="0" borderId="0" xfId="0" applyNumberFormat="1"/>
    <xf numFmtId="166" fontId="0" fillId="2" borderId="0" xfId="0" applyNumberFormat="1" applyFill="1"/>
    <xf numFmtId="0" fontId="0" fillId="0" borderId="0" xfId="0" applyAlignment="1">
      <alignment horizontal="center"/>
    </xf>
    <xf numFmtId="0" fontId="26" fillId="13" borderId="0" xfId="0" applyFont="1" applyFill="1" applyAlignment="1">
      <alignment horizontal="center" vertical="center" wrapText="1"/>
    </xf>
    <xf numFmtId="0" fontId="26" fillId="13" borderId="33" xfId="0" applyFont="1" applyFill="1" applyBorder="1" applyAlignment="1">
      <alignment horizontal="center" vertical="center" wrapText="1"/>
    </xf>
    <xf numFmtId="0" fontId="26" fillId="13" borderId="34" xfId="0" applyFont="1" applyFill="1" applyBorder="1" applyAlignment="1">
      <alignment horizontal="center" vertical="center" wrapText="1"/>
    </xf>
    <xf numFmtId="0" fontId="26" fillId="13" borderId="34" xfId="0" applyFont="1" applyFill="1" applyBorder="1" applyAlignment="1">
      <alignment horizontal="center" vertical="center" wrapText="1"/>
    </xf>
    <xf numFmtId="0" fontId="43" fillId="0" borderId="0" xfId="0" applyFont="1" applyAlignment="1">
      <alignment horizontal="left" vertical="center" indent="7"/>
    </xf>
    <xf numFmtId="10" fontId="28" fillId="14" borderId="0" xfId="3" applyNumberFormat="1" applyFont="1" applyFill="1" applyAlignment="1">
      <alignment horizontal="right" vertical="center" wrapText="1"/>
    </xf>
    <xf numFmtId="0" fontId="0" fillId="0" borderId="18" xfId="0" applyBorder="1"/>
    <xf numFmtId="0" fontId="40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28" fillId="14" borderId="0" xfId="0" applyFont="1" applyFill="1" applyAlignment="1">
      <alignment vertical="center" wrapText="1"/>
    </xf>
    <xf numFmtId="0" fontId="27" fillId="0" borderId="40" xfId="0" applyFont="1" applyBorder="1" applyAlignment="1">
      <alignment vertical="center" wrapText="1"/>
    </xf>
    <xf numFmtId="0" fontId="28" fillId="14" borderId="17" xfId="0" applyFont="1" applyFill="1" applyBorder="1" applyAlignment="1">
      <alignment vertical="center" wrapText="1"/>
    </xf>
    <xf numFmtId="10" fontId="28" fillId="0" borderId="0" xfId="3" applyNumberFormat="1" applyFont="1" applyFill="1" applyAlignment="1">
      <alignment horizontal="right" vertical="center" wrapText="1"/>
    </xf>
    <xf numFmtId="0" fontId="27" fillId="0" borderId="17" xfId="0" applyFont="1" applyBorder="1" applyAlignment="1">
      <alignment horizontal="center" vertical="center" wrapText="1"/>
    </xf>
    <xf numFmtId="3" fontId="27" fillId="0" borderId="17" xfId="0" applyNumberFormat="1" applyFont="1" applyBorder="1" applyAlignment="1">
      <alignment horizontal="right" vertical="center" wrapText="1"/>
    </xf>
    <xf numFmtId="10" fontId="40" fillId="0" borderId="0" xfId="0" applyNumberFormat="1" applyFont="1" applyAlignment="1">
      <alignment vertical="center" wrapText="1"/>
    </xf>
    <xf numFmtId="10" fontId="27" fillId="0" borderId="0" xfId="0" applyNumberFormat="1" applyFont="1" applyBorder="1" applyAlignment="1">
      <alignment horizontal="right" vertical="center" wrapText="1"/>
    </xf>
    <xf numFmtId="0" fontId="27" fillId="14" borderId="0" xfId="0" applyFont="1" applyFill="1" applyAlignment="1">
      <alignment horizontal="right" vertical="center" wrapText="1"/>
    </xf>
    <xf numFmtId="10" fontId="31" fillId="0" borderId="17" xfId="0" applyNumberFormat="1" applyFont="1" applyBorder="1" applyAlignment="1">
      <alignment horizontal="right" vertical="center" wrapText="1"/>
    </xf>
    <xf numFmtId="0" fontId="27" fillId="0" borderId="17" xfId="0" applyFont="1" applyBorder="1" applyAlignment="1">
      <alignment horizontal="right" vertical="center" wrapText="1"/>
    </xf>
    <xf numFmtId="0" fontId="28" fillId="14" borderId="0" xfId="0" applyFont="1" applyFill="1" applyAlignment="1">
      <alignment horizontal="right" vertical="center" wrapText="1"/>
    </xf>
    <xf numFmtId="0" fontId="28" fillId="14" borderId="1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3" fillId="0" borderId="0" xfId="0" applyFont="1" applyAlignment="1">
      <alignment horizontal="left" vertical="center" indent="2"/>
    </xf>
    <xf numFmtId="10" fontId="32" fillId="0" borderId="17" xfId="0" applyNumberFormat="1" applyFont="1" applyBorder="1" applyAlignment="1">
      <alignment horizontal="right" vertical="center" wrapText="1"/>
    </xf>
    <xf numFmtId="3" fontId="27" fillId="14" borderId="17" xfId="0" applyNumberFormat="1" applyFont="1" applyFill="1" applyBorder="1" applyAlignment="1">
      <alignment horizontal="right" vertical="center" wrapText="1"/>
    </xf>
    <xf numFmtId="3" fontId="27" fillId="0" borderId="17" xfId="0" applyNumberFormat="1" applyFont="1" applyFill="1" applyBorder="1" applyAlignment="1">
      <alignment horizontal="right" vertical="center" wrapText="1"/>
    </xf>
    <xf numFmtId="3" fontId="27" fillId="0" borderId="0" xfId="0" applyNumberFormat="1" applyFont="1" applyBorder="1" applyAlignment="1">
      <alignment horizontal="right" vertical="center" wrapText="1"/>
    </xf>
    <xf numFmtId="3" fontId="27" fillId="14" borderId="0" xfId="0" applyNumberFormat="1" applyFont="1" applyFill="1" applyBorder="1" applyAlignment="1">
      <alignment horizontal="right" vertical="center" wrapText="1"/>
    </xf>
    <xf numFmtId="10" fontId="31" fillId="14" borderId="0" xfId="0" applyNumberFormat="1" applyFont="1" applyFill="1" applyBorder="1" applyAlignment="1">
      <alignment horizontal="right" vertical="center" wrapText="1"/>
    </xf>
    <xf numFmtId="10" fontId="28" fillId="14" borderId="17" xfId="0" applyNumberFormat="1" applyFont="1" applyFill="1" applyBorder="1" applyAlignment="1">
      <alignment horizontal="right" vertical="center" wrapText="1"/>
    </xf>
    <xf numFmtId="10" fontId="28" fillId="14" borderId="0" xfId="0" applyNumberFormat="1" applyFont="1" applyFill="1" applyBorder="1" applyAlignment="1">
      <alignment horizontal="right" vertical="center" wrapText="1"/>
    </xf>
    <xf numFmtId="10" fontId="28" fillId="0" borderId="0" xfId="0" applyNumberFormat="1" applyFont="1" applyFill="1" applyAlignment="1">
      <alignment horizontal="right" vertical="center" wrapText="1"/>
    </xf>
    <xf numFmtId="10" fontId="28" fillId="0" borderId="0" xfId="0" applyNumberFormat="1" applyFont="1" applyFill="1" applyBorder="1" applyAlignment="1">
      <alignment horizontal="right" vertical="center" wrapText="1"/>
    </xf>
    <xf numFmtId="0" fontId="47" fillId="0" borderId="0" xfId="0" applyFont="1"/>
    <xf numFmtId="0" fontId="28" fillId="0" borderId="0" xfId="0" applyFont="1" applyAlignment="1">
      <alignment horizontal="right" vertical="center" wrapText="1"/>
    </xf>
    <xf numFmtId="10" fontId="28" fillId="0" borderId="0" xfId="0" applyNumberFormat="1" applyFont="1" applyAlignment="1">
      <alignment horizontal="right" vertical="center" wrapText="1"/>
    </xf>
    <xf numFmtId="167" fontId="27" fillId="0" borderId="0" xfId="0" applyNumberFormat="1" applyFont="1" applyAlignment="1">
      <alignment horizontal="left" vertical="center" wrapText="1"/>
    </xf>
    <xf numFmtId="167" fontId="28" fillId="14" borderId="0" xfId="0" applyNumberFormat="1" applyFont="1" applyFill="1" applyAlignment="1">
      <alignment horizontal="left" vertical="center" wrapText="1"/>
    </xf>
    <xf numFmtId="167" fontId="46" fillId="0" borderId="0" xfId="0" applyNumberFormat="1" applyFont="1"/>
    <xf numFmtId="0" fontId="43" fillId="0" borderId="0" xfId="0" applyFont="1" applyAlignment="1">
      <alignment vertical="center"/>
    </xf>
    <xf numFmtId="0" fontId="43" fillId="0" borderId="0" xfId="0" applyFont="1" applyAlignment="1">
      <alignment horizontal="left" vertical="center"/>
    </xf>
    <xf numFmtId="0" fontId="27" fillId="0" borderId="17" xfId="0" applyFont="1" applyBorder="1" applyAlignment="1">
      <alignment vertical="center" wrapText="1"/>
    </xf>
    <xf numFmtId="10" fontId="28" fillId="0" borderId="17" xfId="0" applyNumberFormat="1" applyFont="1" applyBorder="1" applyAlignment="1">
      <alignment horizontal="right" vertical="center" wrapText="1"/>
    </xf>
    <xf numFmtId="0" fontId="27" fillId="0" borderId="0" xfId="0" applyFont="1" applyAlignment="1">
      <alignment horizontal="left" vertical="center" wrapText="1"/>
    </xf>
    <xf numFmtId="168" fontId="28" fillId="0" borderId="0" xfId="3" applyNumberFormat="1" applyFont="1" applyAlignment="1">
      <alignment horizontal="right" vertical="center" wrapText="1"/>
    </xf>
    <xf numFmtId="168" fontId="28" fillId="14" borderId="0" xfId="0" applyNumberFormat="1" applyFont="1" applyFill="1" applyAlignment="1">
      <alignment horizontal="right" vertical="center" wrapText="1"/>
    </xf>
    <xf numFmtId="168" fontId="28" fillId="0" borderId="0" xfId="0" applyNumberFormat="1" applyFont="1" applyAlignment="1">
      <alignment horizontal="right" vertical="center" wrapText="1"/>
    </xf>
    <xf numFmtId="168" fontId="28" fillId="0" borderId="17" xfId="0" applyNumberFormat="1" applyFont="1" applyBorder="1" applyAlignment="1">
      <alignment horizontal="right" vertical="center" wrapText="1"/>
    </xf>
    <xf numFmtId="1" fontId="27" fillId="0" borderId="17" xfId="0" applyNumberFormat="1" applyFont="1" applyBorder="1" applyAlignment="1">
      <alignment horizontal="right" vertical="center" wrapText="1"/>
    </xf>
    <xf numFmtId="1" fontId="27" fillId="0" borderId="17" xfId="0" applyNumberFormat="1" applyFont="1" applyBorder="1" applyAlignment="1">
      <alignment horizontal="center" vertical="center" wrapText="1"/>
    </xf>
    <xf numFmtId="0" fontId="28" fillId="0" borderId="17" xfId="0" applyFont="1" applyBorder="1" applyAlignment="1">
      <alignment horizontal="right" vertical="center" wrapText="1"/>
    </xf>
    <xf numFmtId="0" fontId="27" fillId="0" borderId="17" xfId="0" applyFont="1" applyBorder="1" applyAlignment="1">
      <alignment horizontal="center" vertical="center" wrapText="1"/>
    </xf>
    <xf numFmtId="0" fontId="26" fillId="13" borderId="0" xfId="0" applyFont="1" applyFill="1" applyAlignment="1">
      <alignment horizontal="center" vertical="center" wrapText="1"/>
    </xf>
    <xf numFmtId="0" fontId="0" fillId="3" borderId="0" xfId="0" applyFill="1" applyAlignment="1">
      <alignment vertical="center"/>
    </xf>
    <xf numFmtId="0" fontId="2" fillId="0" borderId="0" xfId="0" applyFont="1" applyAlignment="1"/>
    <xf numFmtId="0" fontId="0" fillId="16" borderId="0" xfId="0" applyFill="1" applyAlignment="1">
      <alignment vertical="center"/>
    </xf>
    <xf numFmtId="0" fontId="30" fillId="0" borderId="0" xfId="0" applyFont="1" applyAlignment="1">
      <alignment horizontal="left" vertical="center"/>
    </xf>
    <xf numFmtId="0" fontId="27" fillId="0" borderId="7" xfId="0" applyFont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16" borderId="0" xfId="1" applyFill="1" applyAlignment="1">
      <alignment vertical="center"/>
    </xf>
    <xf numFmtId="0" fontId="3" fillId="0" borderId="0" xfId="1" applyFill="1"/>
    <xf numFmtId="0" fontId="3" fillId="17" borderId="0" xfId="1" applyFill="1" applyAlignment="1">
      <alignment vertical="center"/>
    </xf>
    <xf numFmtId="0" fontId="0" fillId="17" borderId="0" xfId="0" applyFill="1" applyAlignment="1">
      <alignment vertical="center"/>
    </xf>
    <xf numFmtId="0" fontId="0" fillId="3" borderId="0" xfId="0" applyFill="1" applyAlignment="1">
      <alignment vertical="center" wrapText="1"/>
    </xf>
    <xf numFmtId="0" fontId="3" fillId="3" borderId="0" xfId="1" applyFill="1" applyAlignment="1">
      <alignment vertical="center"/>
    </xf>
    <xf numFmtId="0" fontId="2" fillId="0" borderId="0" xfId="0" applyFont="1" applyAlignment="1">
      <alignment horizontal="center"/>
    </xf>
    <xf numFmtId="0" fontId="26" fillId="13" borderId="31" xfId="0" applyFont="1" applyFill="1" applyBorder="1" applyAlignment="1">
      <alignment horizontal="center" vertical="center" wrapText="1"/>
    </xf>
    <xf numFmtId="0" fontId="26" fillId="13" borderId="30" xfId="0" applyFont="1" applyFill="1" applyBorder="1" applyAlignment="1">
      <alignment horizontal="center" vertical="center" wrapText="1"/>
    </xf>
    <xf numFmtId="3" fontId="28" fillId="14" borderId="18" xfId="0" applyNumberFormat="1" applyFont="1" applyFill="1" applyBorder="1" applyAlignment="1">
      <alignment horizontal="right" vertical="center" wrapText="1"/>
    </xf>
    <xf numFmtId="3" fontId="29" fillId="0" borderId="0" xfId="0" applyNumberFormat="1" applyFont="1" applyFill="1" applyAlignment="1">
      <alignment horizontal="right" vertical="center" wrapText="1"/>
    </xf>
    <xf numFmtId="3" fontId="29" fillId="0" borderId="17" xfId="0" applyNumberFormat="1" applyFont="1" applyFill="1" applyBorder="1" applyAlignment="1">
      <alignment horizontal="right" vertical="center" wrapText="1"/>
    </xf>
    <xf numFmtId="2" fontId="27" fillId="0" borderId="17" xfId="0" applyNumberFormat="1" applyFont="1" applyBorder="1" applyAlignment="1">
      <alignment horizontal="right" vertical="center" wrapText="1"/>
    </xf>
    <xf numFmtId="2" fontId="27" fillId="14" borderId="18" xfId="0" applyNumberFormat="1" applyFont="1" applyFill="1" applyBorder="1" applyAlignment="1">
      <alignment horizontal="right" vertical="center" wrapText="1"/>
    </xf>
    <xf numFmtId="0" fontId="28" fillId="14" borderId="7" xfId="0" applyFont="1" applyFill="1" applyBorder="1" applyAlignment="1">
      <alignment horizontal="center" vertical="center" wrapText="1"/>
    </xf>
    <xf numFmtId="3" fontId="27" fillId="14" borderId="7" xfId="0" applyNumberFormat="1" applyFont="1" applyFill="1" applyBorder="1" applyAlignment="1">
      <alignment horizontal="right" vertical="center" wrapText="1"/>
    </xf>
    <xf numFmtId="10" fontId="28" fillId="14" borderId="7" xfId="0" applyNumberFormat="1" applyFont="1" applyFill="1" applyBorder="1" applyAlignment="1">
      <alignment horizontal="right" vertical="center" wrapText="1"/>
    </xf>
    <xf numFmtId="0" fontId="26" fillId="13" borderId="0" xfId="0" applyFont="1" applyFill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7" fillId="11" borderId="28" xfId="0" applyFont="1" applyFill="1" applyBorder="1" applyAlignment="1">
      <alignment horizontal="left" vertical="top" wrapText="1"/>
    </xf>
    <xf numFmtId="0" fontId="37" fillId="11" borderId="0" xfId="0" applyFont="1" applyFill="1" applyBorder="1" applyAlignment="1">
      <alignment horizontal="left" vertical="top" wrapText="1"/>
    </xf>
    <xf numFmtId="0" fontId="37" fillId="0" borderId="0" xfId="0" applyFont="1" applyAlignment="1">
      <alignment horizontal="left" vertical="top" wrapText="1"/>
    </xf>
    <xf numFmtId="0" fontId="35" fillId="0" borderId="19" xfId="0" applyFont="1" applyBorder="1" applyAlignment="1">
      <alignment horizontal="left" vertical="center" wrapText="1"/>
    </xf>
    <xf numFmtId="0" fontId="36" fillId="0" borderId="21" xfId="0" applyFont="1" applyBorder="1" applyAlignment="1">
      <alignment horizontal="center" vertical="top" wrapText="1"/>
    </xf>
    <xf numFmtId="0" fontId="36" fillId="0" borderId="20" xfId="0" applyFont="1" applyBorder="1" applyAlignment="1">
      <alignment horizontal="center" vertical="top" wrapText="1"/>
    </xf>
    <xf numFmtId="0" fontId="37" fillId="11" borderId="23" xfId="0" applyFont="1" applyFill="1" applyBorder="1" applyAlignment="1">
      <alignment horizontal="left" vertical="top" wrapText="1"/>
    </xf>
    <xf numFmtId="0" fontId="37" fillId="11" borderId="24" xfId="0" applyFont="1" applyFill="1" applyBorder="1" applyAlignment="1">
      <alignment horizontal="left" vertical="top" wrapText="1"/>
    </xf>
    <xf numFmtId="0" fontId="26" fillId="13" borderId="18" xfId="0" applyFont="1" applyFill="1" applyBorder="1" applyAlignment="1">
      <alignment horizontal="center" vertical="center" wrapText="1"/>
    </xf>
    <xf numFmtId="0" fontId="26" fillId="13" borderId="0" xfId="0" applyFont="1" applyFill="1" applyBorder="1" applyAlignment="1">
      <alignment horizontal="center" vertical="center" wrapText="1"/>
    </xf>
    <xf numFmtId="0" fontId="26" fillId="13" borderId="29" xfId="0" applyFont="1" applyFill="1" applyBorder="1" applyAlignment="1">
      <alignment horizontal="center" vertical="center" wrapText="1"/>
    </xf>
    <xf numFmtId="0" fontId="26" fillId="13" borderId="32" xfId="0" applyFont="1" applyFill="1" applyBorder="1" applyAlignment="1">
      <alignment horizontal="center" vertical="center" wrapText="1"/>
    </xf>
    <xf numFmtId="0" fontId="26" fillId="13" borderId="33" xfId="0" applyFont="1" applyFill="1" applyBorder="1" applyAlignment="1">
      <alignment horizontal="center" vertical="center" wrapText="1"/>
    </xf>
    <xf numFmtId="0" fontId="26" fillId="13" borderId="35" xfId="0" applyFont="1" applyFill="1" applyBorder="1" applyAlignment="1">
      <alignment horizontal="center" vertical="center" wrapText="1"/>
    </xf>
    <xf numFmtId="0" fontId="26" fillId="13" borderId="30" xfId="0" applyFont="1" applyFill="1" applyBorder="1" applyAlignment="1">
      <alignment horizontal="center" vertical="center" wrapText="1"/>
    </xf>
    <xf numFmtId="0" fontId="26" fillId="13" borderId="38" xfId="0" applyFont="1" applyFill="1" applyBorder="1" applyAlignment="1">
      <alignment horizontal="center" vertical="center" wrapText="1"/>
    </xf>
    <xf numFmtId="0" fontId="26" fillId="13" borderId="34" xfId="0" applyFont="1" applyFill="1" applyBorder="1" applyAlignment="1">
      <alignment horizontal="center" vertical="center" wrapText="1"/>
    </xf>
    <xf numFmtId="0" fontId="26" fillId="13" borderId="36" xfId="0" applyFont="1" applyFill="1" applyBorder="1" applyAlignment="1">
      <alignment horizontal="center" vertical="center" wrapText="1"/>
    </xf>
    <xf numFmtId="0" fontId="26" fillId="13" borderId="37" xfId="0" applyFont="1" applyFill="1" applyBorder="1" applyAlignment="1">
      <alignment horizontal="center" vertical="center" wrapText="1"/>
    </xf>
    <xf numFmtId="0" fontId="26" fillId="13" borderId="31" xfId="0" applyFont="1" applyFill="1" applyBorder="1" applyAlignment="1">
      <alignment horizontal="center" vertical="center" wrapText="1"/>
    </xf>
    <xf numFmtId="0" fontId="26" fillId="13" borderId="39" xfId="0" applyFont="1" applyFill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17" xfId="0" applyFont="1" applyBorder="1" applyAlignment="1">
      <alignment horizontal="center" vertical="center" wrapText="1"/>
    </xf>
    <xf numFmtId="0" fontId="26" fillId="13" borderId="0" xfId="0" applyFont="1" applyFill="1" applyAlignment="1">
      <alignment horizontal="center" vertical="center" wrapText="1"/>
    </xf>
    <xf numFmtId="0" fontId="3" fillId="6" borderId="11" xfId="1" applyFill="1" applyBorder="1" applyAlignment="1">
      <alignment vertical="center" wrapText="1"/>
    </xf>
    <xf numFmtId="0" fontId="3" fillId="6" borderId="13" xfId="1" applyFill="1" applyBorder="1" applyAlignment="1">
      <alignment vertical="center" wrapText="1"/>
    </xf>
    <xf numFmtId="0" fontId="3" fillId="6" borderId="12" xfId="1" applyFill="1" applyBorder="1" applyAlignment="1">
      <alignment vertical="center" wrapText="1"/>
    </xf>
    <xf numFmtId="0" fontId="9" fillId="6" borderId="11" xfId="0" applyFont="1" applyFill="1" applyBorder="1" applyAlignment="1">
      <alignment vertical="center" wrapText="1"/>
    </xf>
    <xf numFmtId="0" fontId="9" fillId="6" borderId="13" xfId="0" applyFont="1" applyFill="1" applyBorder="1" applyAlignment="1">
      <alignment vertical="center" wrapText="1"/>
    </xf>
    <xf numFmtId="0" fontId="9" fillId="6" borderId="12" xfId="0" applyFont="1" applyFill="1" applyBorder="1" applyAlignment="1">
      <alignment vertical="center" wrapText="1"/>
    </xf>
    <xf numFmtId="0" fontId="11" fillId="6" borderId="11" xfId="0" applyFont="1" applyFill="1" applyBorder="1" applyAlignment="1">
      <alignment vertical="center" wrapText="1"/>
    </xf>
    <xf numFmtId="0" fontId="11" fillId="6" borderId="12" xfId="0" applyFont="1" applyFill="1" applyBorder="1" applyAlignment="1">
      <alignment vertical="center" wrapText="1"/>
    </xf>
    <xf numFmtId="0" fontId="10" fillId="6" borderId="11" xfId="0" applyFont="1" applyFill="1" applyBorder="1" applyAlignment="1">
      <alignment vertical="center" wrapText="1"/>
    </xf>
    <xf numFmtId="0" fontId="10" fillId="6" borderId="12" xfId="0" applyFont="1" applyFill="1" applyBorder="1" applyAlignment="1">
      <alignment vertical="center" wrapText="1"/>
    </xf>
    <xf numFmtId="10" fontId="11" fillId="6" borderId="11" xfId="0" applyNumberFormat="1" applyFont="1" applyFill="1" applyBorder="1" applyAlignment="1">
      <alignment vertical="center" wrapText="1"/>
    </xf>
    <xf numFmtId="10" fontId="11" fillId="6" borderId="12" xfId="0" applyNumberFormat="1" applyFont="1" applyFill="1" applyBorder="1" applyAlignment="1">
      <alignment vertical="center" wrapText="1"/>
    </xf>
    <xf numFmtId="0" fontId="22" fillId="9" borderId="14" xfId="2" applyFont="1" applyFill="1" applyBorder="1" applyAlignment="1">
      <alignment horizontal="left" vertical="center"/>
    </xf>
    <xf numFmtId="0" fontId="21" fillId="8" borderId="14" xfId="2" applyFont="1" applyFill="1" applyBorder="1" applyAlignment="1">
      <alignment horizontal="left" vertical="center"/>
    </xf>
  </cellXfs>
  <cellStyles count="4">
    <cellStyle name="Hiperlink" xfId="1" builtinId="8"/>
    <cellStyle name="Normal" xfId="0" builtinId="0"/>
    <cellStyle name="Normal 2" xfId="2" xr:uid="{B82B02D8-98D5-4C06-9639-9A0446406BAF}"/>
    <cellStyle name="Porcentagem" xfId="3" builtinId="5"/>
  </cellStyles>
  <dxfs count="0"/>
  <tableStyles count="0" defaultTableStyle="TableStyleMedium2" defaultPivotStyle="PivotStyleLight16"/>
  <colors>
    <mruColors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EmbDesemBUS!$Q$2</c:f>
              <c:strCache>
                <c:ptCount val="1"/>
                <c:pt idx="0">
                  <c:v>Movimentação Passageiros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EmbDesemBUS!$A$39:$A$111</c:f>
              <c:numCache>
                <c:formatCode>[$-416]mmm\-yy;@</c:formatCode>
                <c:ptCount val="73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</c:numCache>
            </c:numRef>
          </c:cat>
          <c:val>
            <c:numRef>
              <c:f>EmbDesemBUS!$Q$39:$Q$111</c:f>
              <c:numCache>
                <c:formatCode>#,##0</c:formatCode>
                <c:ptCount val="73"/>
                <c:pt idx="0">
                  <c:v>831245</c:v>
                </c:pt>
                <c:pt idx="1">
                  <c:v>681788</c:v>
                </c:pt>
                <c:pt idx="2">
                  <c:v>626654</c:v>
                </c:pt>
                <c:pt idx="3">
                  <c:v>722277</c:v>
                </c:pt>
                <c:pt idx="4">
                  <c:v>646591</c:v>
                </c:pt>
                <c:pt idx="5">
                  <c:v>653217</c:v>
                </c:pt>
                <c:pt idx="6">
                  <c:v>795403</c:v>
                </c:pt>
                <c:pt idx="7">
                  <c:v>675782</c:v>
                </c:pt>
                <c:pt idx="8">
                  <c:v>640207</c:v>
                </c:pt>
                <c:pt idx="9">
                  <c:v>708223</c:v>
                </c:pt>
                <c:pt idx="10">
                  <c:v>639262</c:v>
                </c:pt>
                <c:pt idx="11">
                  <c:v>815140</c:v>
                </c:pt>
                <c:pt idx="12">
                  <c:v>766240</c:v>
                </c:pt>
                <c:pt idx="13">
                  <c:v>640097</c:v>
                </c:pt>
                <c:pt idx="14">
                  <c:v>636268</c:v>
                </c:pt>
                <c:pt idx="15">
                  <c:v>591279</c:v>
                </c:pt>
                <c:pt idx="16">
                  <c:v>617523</c:v>
                </c:pt>
                <c:pt idx="17">
                  <c:v>527127</c:v>
                </c:pt>
                <c:pt idx="18">
                  <c:v>719688</c:v>
                </c:pt>
                <c:pt idx="19">
                  <c:v>605063</c:v>
                </c:pt>
                <c:pt idx="20">
                  <c:v>572676</c:v>
                </c:pt>
                <c:pt idx="21">
                  <c:v>622836</c:v>
                </c:pt>
                <c:pt idx="22">
                  <c:v>564209</c:v>
                </c:pt>
                <c:pt idx="23">
                  <c:v>743549</c:v>
                </c:pt>
                <c:pt idx="24">
                  <c:v>716509</c:v>
                </c:pt>
                <c:pt idx="25">
                  <c:v>531748</c:v>
                </c:pt>
                <c:pt idx="26">
                  <c:v>564324</c:v>
                </c:pt>
                <c:pt idx="27">
                  <c:v>656537</c:v>
                </c:pt>
                <c:pt idx="28">
                  <c:v>600957</c:v>
                </c:pt>
                <c:pt idx="29">
                  <c:v>602179</c:v>
                </c:pt>
                <c:pt idx="30">
                  <c:v>756715</c:v>
                </c:pt>
                <c:pt idx="31">
                  <c:v>624566</c:v>
                </c:pt>
                <c:pt idx="32">
                  <c:v>660185</c:v>
                </c:pt>
                <c:pt idx="33">
                  <c:v>681792</c:v>
                </c:pt>
                <c:pt idx="34">
                  <c:v>556227</c:v>
                </c:pt>
                <c:pt idx="35">
                  <c:v>824019</c:v>
                </c:pt>
                <c:pt idx="36">
                  <c:v>819208</c:v>
                </c:pt>
                <c:pt idx="37">
                  <c:v>644004</c:v>
                </c:pt>
                <c:pt idx="38">
                  <c:v>627398</c:v>
                </c:pt>
                <c:pt idx="39">
                  <c:v>641093</c:v>
                </c:pt>
                <c:pt idx="40">
                  <c:v>633721</c:v>
                </c:pt>
                <c:pt idx="41">
                  <c:v>607930</c:v>
                </c:pt>
                <c:pt idx="42">
                  <c:v>794537</c:v>
                </c:pt>
                <c:pt idx="43">
                  <c:v>653017</c:v>
                </c:pt>
                <c:pt idx="44">
                  <c:v>681369</c:v>
                </c:pt>
                <c:pt idx="45">
                  <c:v>720917</c:v>
                </c:pt>
                <c:pt idx="46">
                  <c:v>707056</c:v>
                </c:pt>
                <c:pt idx="47">
                  <c:v>842508</c:v>
                </c:pt>
                <c:pt idx="48">
                  <c:v>866996</c:v>
                </c:pt>
                <c:pt idx="49">
                  <c:v>665904</c:v>
                </c:pt>
                <c:pt idx="50">
                  <c:v>694671</c:v>
                </c:pt>
                <c:pt idx="51">
                  <c:v>656966</c:v>
                </c:pt>
                <c:pt idx="52">
                  <c:v>638423</c:v>
                </c:pt>
                <c:pt idx="53">
                  <c:v>642244</c:v>
                </c:pt>
                <c:pt idx="54">
                  <c:v>817680</c:v>
                </c:pt>
                <c:pt idx="55">
                  <c:v>680782</c:v>
                </c:pt>
                <c:pt idx="56">
                  <c:v>674080</c:v>
                </c:pt>
                <c:pt idx="57">
                  <c:v>754037</c:v>
                </c:pt>
                <c:pt idx="58">
                  <c:v>671007</c:v>
                </c:pt>
                <c:pt idx="59">
                  <c:v>856542</c:v>
                </c:pt>
                <c:pt idx="60">
                  <c:v>816935</c:v>
                </c:pt>
                <c:pt idx="61">
                  <c:v>660375</c:v>
                </c:pt>
                <c:pt idx="62">
                  <c:v>392160</c:v>
                </c:pt>
                <c:pt idx="63">
                  <c:v>66307</c:v>
                </c:pt>
                <c:pt idx="64">
                  <c:v>98864</c:v>
                </c:pt>
                <c:pt idx="65">
                  <c:v>131821</c:v>
                </c:pt>
                <c:pt idx="66">
                  <c:v>163393</c:v>
                </c:pt>
                <c:pt idx="67">
                  <c:v>221188</c:v>
                </c:pt>
                <c:pt idx="68">
                  <c:v>281788</c:v>
                </c:pt>
                <c:pt idx="69">
                  <c:v>368829</c:v>
                </c:pt>
                <c:pt idx="70">
                  <c:v>352359</c:v>
                </c:pt>
                <c:pt idx="71">
                  <c:v>436644</c:v>
                </c:pt>
                <c:pt idx="72">
                  <c:v>380839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66AE-4454-A678-BCFFD3A694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9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EmbDesemBUS!$F$2</c:f>
              <c:strCache>
                <c:ptCount val="1"/>
                <c:pt idx="0">
                  <c:v>Movimentação Passageiros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EmbDesemBUS!$A$3:$A$111</c:f>
              <c:numCache>
                <c:formatCode>[$-416]mmm\-yy;@</c:formatCode>
                <c:ptCount val="10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43435</c:v>
                </c:pt>
                <c:pt idx="84">
                  <c:v>43466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43586</c:v>
                </c:pt>
                <c:pt idx="89">
                  <c:v>43617</c:v>
                </c:pt>
                <c:pt idx="90">
                  <c:v>43647</c:v>
                </c:pt>
                <c:pt idx="91">
                  <c:v>43678</c:v>
                </c:pt>
                <c:pt idx="92">
                  <c:v>43709</c:v>
                </c:pt>
                <c:pt idx="93">
                  <c:v>43739</c:v>
                </c:pt>
                <c:pt idx="94">
                  <c:v>43770</c:v>
                </c:pt>
                <c:pt idx="95">
                  <c:v>43800</c:v>
                </c:pt>
                <c:pt idx="96">
                  <c:v>43831</c:v>
                </c:pt>
                <c:pt idx="97">
                  <c:v>43862</c:v>
                </c:pt>
                <c:pt idx="98">
                  <c:v>43891</c:v>
                </c:pt>
                <c:pt idx="99">
                  <c:v>43922</c:v>
                </c:pt>
                <c:pt idx="100">
                  <c:v>43952</c:v>
                </c:pt>
                <c:pt idx="101">
                  <c:v>43983</c:v>
                </c:pt>
                <c:pt idx="102">
                  <c:v>44013</c:v>
                </c:pt>
                <c:pt idx="103">
                  <c:v>44044</c:v>
                </c:pt>
                <c:pt idx="104">
                  <c:v>44075</c:v>
                </c:pt>
                <c:pt idx="105">
                  <c:v>44105</c:v>
                </c:pt>
                <c:pt idx="106">
                  <c:v>44136</c:v>
                </c:pt>
                <c:pt idx="107">
                  <c:v>44166</c:v>
                </c:pt>
                <c:pt idx="108">
                  <c:v>44197</c:v>
                </c:pt>
              </c:numCache>
            </c:numRef>
          </c:cat>
          <c:val>
            <c:numRef>
              <c:f>EmbDesemBUS!$F$3:$F$111</c:f>
              <c:numCache>
                <c:formatCode>#,##0</c:formatCode>
                <c:ptCount val="109"/>
                <c:pt idx="0">
                  <c:v>1009732</c:v>
                </c:pt>
                <c:pt idx="1">
                  <c:v>870283</c:v>
                </c:pt>
                <c:pt idx="2">
                  <c:v>751340</c:v>
                </c:pt>
                <c:pt idx="3">
                  <c:v>882275</c:v>
                </c:pt>
                <c:pt idx="4">
                  <c:v>792233</c:v>
                </c:pt>
                <c:pt idx="5">
                  <c:v>794389</c:v>
                </c:pt>
                <c:pt idx="6">
                  <c:v>1012534</c:v>
                </c:pt>
                <c:pt idx="7">
                  <c:v>798419</c:v>
                </c:pt>
                <c:pt idx="8">
                  <c:v>840534</c:v>
                </c:pt>
                <c:pt idx="9">
                  <c:v>899964</c:v>
                </c:pt>
                <c:pt idx="10">
                  <c:v>829435</c:v>
                </c:pt>
                <c:pt idx="11">
                  <c:v>966561</c:v>
                </c:pt>
                <c:pt idx="12">
                  <c:v>1019807</c:v>
                </c:pt>
                <c:pt idx="13">
                  <c:v>837281</c:v>
                </c:pt>
                <c:pt idx="14">
                  <c:v>809275</c:v>
                </c:pt>
                <c:pt idx="15">
                  <c:v>749101</c:v>
                </c:pt>
                <c:pt idx="16">
                  <c:v>812286</c:v>
                </c:pt>
                <c:pt idx="17">
                  <c:v>737263</c:v>
                </c:pt>
                <c:pt idx="18">
                  <c:v>957455</c:v>
                </c:pt>
                <c:pt idx="19">
                  <c:v>836512</c:v>
                </c:pt>
                <c:pt idx="20">
                  <c:v>796317</c:v>
                </c:pt>
                <c:pt idx="21">
                  <c:v>809910</c:v>
                </c:pt>
                <c:pt idx="22">
                  <c:v>802875</c:v>
                </c:pt>
                <c:pt idx="23">
                  <c:v>959228</c:v>
                </c:pt>
                <c:pt idx="24">
                  <c:v>893389</c:v>
                </c:pt>
                <c:pt idx="25">
                  <c:v>707525</c:v>
                </c:pt>
                <c:pt idx="26">
                  <c:v>854819</c:v>
                </c:pt>
                <c:pt idx="27">
                  <c:v>867824</c:v>
                </c:pt>
                <c:pt idx="28">
                  <c:v>773976</c:v>
                </c:pt>
                <c:pt idx="29">
                  <c:v>837941</c:v>
                </c:pt>
                <c:pt idx="30">
                  <c:v>844294</c:v>
                </c:pt>
                <c:pt idx="31">
                  <c:v>830344</c:v>
                </c:pt>
                <c:pt idx="32">
                  <c:v>760930</c:v>
                </c:pt>
                <c:pt idx="33">
                  <c:v>829512</c:v>
                </c:pt>
                <c:pt idx="34">
                  <c:v>738928</c:v>
                </c:pt>
                <c:pt idx="35">
                  <c:v>999967</c:v>
                </c:pt>
                <c:pt idx="36">
                  <c:v>962182</c:v>
                </c:pt>
                <c:pt idx="37">
                  <c:v>768373</c:v>
                </c:pt>
                <c:pt idx="38">
                  <c:v>691621</c:v>
                </c:pt>
                <c:pt idx="39">
                  <c:v>790310</c:v>
                </c:pt>
                <c:pt idx="40">
                  <c:v>698589</c:v>
                </c:pt>
                <c:pt idx="41">
                  <c:v>695393</c:v>
                </c:pt>
                <c:pt idx="42">
                  <c:v>888549</c:v>
                </c:pt>
                <c:pt idx="43">
                  <c:v>739225</c:v>
                </c:pt>
                <c:pt idx="44">
                  <c:v>701350</c:v>
                </c:pt>
                <c:pt idx="45">
                  <c:v>788977</c:v>
                </c:pt>
                <c:pt idx="46">
                  <c:v>660221</c:v>
                </c:pt>
                <c:pt idx="47">
                  <c:v>922446</c:v>
                </c:pt>
                <c:pt idx="48">
                  <c:v>865787</c:v>
                </c:pt>
                <c:pt idx="49">
                  <c:v>706188</c:v>
                </c:pt>
                <c:pt idx="50">
                  <c:v>687480</c:v>
                </c:pt>
                <c:pt idx="51">
                  <c:v>636050</c:v>
                </c:pt>
                <c:pt idx="52">
                  <c:v>661753</c:v>
                </c:pt>
                <c:pt idx="53">
                  <c:v>562793</c:v>
                </c:pt>
                <c:pt idx="54">
                  <c:v>785137</c:v>
                </c:pt>
                <c:pt idx="55">
                  <c:v>650553</c:v>
                </c:pt>
                <c:pt idx="56">
                  <c:v>616795</c:v>
                </c:pt>
                <c:pt idx="57">
                  <c:v>675287</c:v>
                </c:pt>
                <c:pt idx="58">
                  <c:v>605702</c:v>
                </c:pt>
                <c:pt idx="59">
                  <c:v>813621</c:v>
                </c:pt>
                <c:pt idx="60">
                  <c:v>817448</c:v>
                </c:pt>
                <c:pt idx="61">
                  <c:v>581706</c:v>
                </c:pt>
                <c:pt idx="62">
                  <c:v>614515</c:v>
                </c:pt>
                <c:pt idx="63">
                  <c:v>706728</c:v>
                </c:pt>
                <c:pt idx="64">
                  <c:v>600957</c:v>
                </c:pt>
                <c:pt idx="65">
                  <c:v>602179</c:v>
                </c:pt>
                <c:pt idx="66">
                  <c:v>756715</c:v>
                </c:pt>
                <c:pt idx="67">
                  <c:v>624566</c:v>
                </c:pt>
                <c:pt idx="68">
                  <c:v>660185</c:v>
                </c:pt>
                <c:pt idx="69">
                  <c:v>681792</c:v>
                </c:pt>
                <c:pt idx="70">
                  <c:v>556227</c:v>
                </c:pt>
                <c:pt idx="71">
                  <c:v>824019</c:v>
                </c:pt>
                <c:pt idx="72">
                  <c:v>819208</c:v>
                </c:pt>
                <c:pt idx="73">
                  <c:v>644004</c:v>
                </c:pt>
                <c:pt idx="74">
                  <c:v>627398</c:v>
                </c:pt>
                <c:pt idx="75">
                  <c:v>641093</c:v>
                </c:pt>
                <c:pt idx="76">
                  <c:v>633721</c:v>
                </c:pt>
                <c:pt idx="77">
                  <c:v>607930</c:v>
                </c:pt>
                <c:pt idx="78">
                  <c:v>794537</c:v>
                </c:pt>
                <c:pt idx="79">
                  <c:v>653017</c:v>
                </c:pt>
                <c:pt idx="80">
                  <c:v>681369</c:v>
                </c:pt>
                <c:pt idx="81">
                  <c:v>720917</c:v>
                </c:pt>
                <c:pt idx="82">
                  <c:v>707056</c:v>
                </c:pt>
                <c:pt idx="83">
                  <c:v>842508</c:v>
                </c:pt>
                <c:pt idx="84">
                  <c:v>866996</c:v>
                </c:pt>
                <c:pt idx="85">
                  <c:v>665904</c:v>
                </c:pt>
                <c:pt idx="86">
                  <c:v>694671</c:v>
                </c:pt>
                <c:pt idx="87">
                  <c:v>656966</c:v>
                </c:pt>
                <c:pt idx="88">
                  <c:v>638423</c:v>
                </c:pt>
                <c:pt idx="89">
                  <c:v>642244</c:v>
                </c:pt>
                <c:pt idx="90">
                  <c:v>817680</c:v>
                </c:pt>
                <c:pt idx="91">
                  <c:v>680782</c:v>
                </c:pt>
                <c:pt idx="92">
                  <c:v>674080</c:v>
                </c:pt>
                <c:pt idx="93">
                  <c:v>754037</c:v>
                </c:pt>
                <c:pt idx="94">
                  <c:v>671007</c:v>
                </c:pt>
                <c:pt idx="95">
                  <c:v>856542</c:v>
                </c:pt>
                <c:pt idx="96">
                  <c:v>816935</c:v>
                </c:pt>
                <c:pt idx="97">
                  <c:v>660375</c:v>
                </c:pt>
                <c:pt idx="98">
                  <c:v>392160</c:v>
                </c:pt>
                <c:pt idx="99">
                  <c:v>66307</c:v>
                </c:pt>
                <c:pt idx="100">
                  <c:v>98864</c:v>
                </c:pt>
                <c:pt idx="101">
                  <c:v>131821</c:v>
                </c:pt>
                <c:pt idx="102">
                  <c:v>163393</c:v>
                </c:pt>
                <c:pt idx="103">
                  <c:v>221188</c:v>
                </c:pt>
                <c:pt idx="104">
                  <c:v>281788</c:v>
                </c:pt>
                <c:pt idx="105">
                  <c:v>368829</c:v>
                </c:pt>
                <c:pt idx="106">
                  <c:v>352359</c:v>
                </c:pt>
                <c:pt idx="107">
                  <c:v>436644</c:v>
                </c:pt>
                <c:pt idx="108">
                  <c:v>380839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4DAB-4486-A162-A6FA7A58F0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105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EmbDesemBUS!$R$2</c:f>
              <c:strCache>
                <c:ptCount val="1"/>
                <c:pt idx="0">
                  <c:v>Movimentação Ônibus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EmbDesemBUS!$A$39:$A$111</c:f>
              <c:numCache>
                <c:formatCode>[$-416]mmm\-yy;@</c:formatCode>
                <c:ptCount val="73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</c:numCache>
            </c:numRef>
          </c:cat>
          <c:val>
            <c:numRef>
              <c:f>EmbDesemBUS!$R$39:$R$111</c:f>
              <c:numCache>
                <c:formatCode>#,##0</c:formatCode>
                <c:ptCount val="73"/>
                <c:pt idx="0">
                  <c:v>42149</c:v>
                </c:pt>
                <c:pt idx="1">
                  <c:v>37822</c:v>
                </c:pt>
                <c:pt idx="2">
                  <c:v>39966</c:v>
                </c:pt>
                <c:pt idx="3">
                  <c:v>40508</c:v>
                </c:pt>
                <c:pt idx="4">
                  <c:v>39976</c:v>
                </c:pt>
                <c:pt idx="5">
                  <c:v>39862</c:v>
                </c:pt>
                <c:pt idx="6">
                  <c:v>40431</c:v>
                </c:pt>
                <c:pt idx="7">
                  <c:v>39534</c:v>
                </c:pt>
                <c:pt idx="8">
                  <c:v>37799</c:v>
                </c:pt>
                <c:pt idx="9">
                  <c:v>39098</c:v>
                </c:pt>
                <c:pt idx="10">
                  <c:v>37128</c:v>
                </c:pt>
                <c:pt idx="11">
                  <c:v>40599</c:v>
                </c:pt>
                <c:pt idx="12">
                  <c:v>39689</c:v>
                </c:pt>
                <c:pt idx="13">
                  <c:v>36735</c:v>
                </c:pt>
                <c:pt idx="14">
                  <c:v>38678</c:v>
                </c:pt>
                <c:pt idx="15">
                  <c:v>36816</c:v>
                </c:pt>
                <c:pt idx="16">
                  <c:v>38276</c:v>
                </c:pt>
                <c:pt idx="17">
                  <c:v>36508</c:v>
                </c:pt>
                <c:pt idx="18">
                  <c:v>38640</c:v>
                </c:pt>
                <c:pt idx="19">
                  <c:v>38102</c:v>
                </c:pt>
                <c:pt idx="20">
                  <c:v>36515</c:v>
                </c:pt>
                <c:pt idx="21">
                  <c:v>37828</c:v>
                </c:pt>
                <c:pt idx="22">
                  <c:v>36316</c:v>
                </c:pt>
                <c:pt idx="23">
                  <c:v>39272</c:v>
                </c:pt>
                <c:pt idx="24">
                  <c:v>39088</c:v>
                </c:pt>
                <c:pt idx="25">
                  <c:v>33938</c:v>
                </c:pt>
                <c:pt idx="26">
                  <c:v>37432</c:v>
                </c:pt>
                <c:pt idx="27">
                  <c:v>38429</c:v>
                </c:pt>
                <c:pt idx="28">
                  <c:v>38666</c:v>
                </c:pt>
                <c:pt idx="29">
                  <c:v>37868</c:v>
                </c:pt>
                <c:pt idx="30">
                  <c:v>40537</c:v>
                </c:pt>
                <c:pt idx="31">
                  <c:v>39540</c:v>
                </c:pt>
                <c:pt idx="32">
                  <c:v>38819</c:v>
                </c:pt>
                <c:pt idx="33">
                  <c:v>39252</c:v>
                </c:pt>
                <c:pt idx="34">
                  <c:v>36976</c:v>
                </c:pt>
                <c:pt idx="35">
                  <c:v>40815</c:v>
                </c:pt>
                <c:pt idx="36">
                  <c:v>41014</c:v>
                </c:pt>
                <c:pt idx="37">
                  <c:v>35836</c:v>
                </c:pt>
                <c:pt idx="38">
                  <c:v>38134</c:v>
                </c:pt>
                <c:pt idx="39">
                  <c:v>37293</c:v>
                </c:pt>
                <c:pt idx="40">
                  <c:v>36649</c:v>
                </c:pt>
                <c:pt idx="41">
                  <c:v>36154</c:v>
                </c:pt>
                <c:pt idx="42">
                  <c:v>38757</c:v>
                </c:pt>
                <c:pt idx="43">
                  <c:v>37739</c:v>
                </c:pt>
                <c:pt idx="44">
                  <c:v>37178</c:v>
                </c:pt>
                <c:pt idx="45">
                  <c:v>38692</c:v>
                </c:pt>
                <c:pt idx="46">
                  <c:v>37251</c:v>
                </c:pt>
                <c:pt idx="47">
                  <c:v>39579</c:v>
                </c:pt>
                <c:pt idx="48">
                  <c:v>39678</c:v>
                </c:pt>
                <c:pt idx="49">
                  <c:v>34496</c:v>
                </c:pt>
                <c:pt idx="50">
                  <c:v>38931</c:v>
                </c:pt>
                <c:pt idx="51">
                  <c:v>37349</c:v>
                </c:pt>
                <c:pt idx="52">
                  <c:v>37600</c:v>
                </c:pt>
                <c:pt idx="53">
                  <c:v>36667</c:v>
                </c:pt>
                <c:pt idx="54">
                  <c:v>39283</c:v>
                </c:pt>
                <c:pt idx="55">
                  <c:v>38331</c:v>
                </c:pt>
                <c:pt idx="56">
                  <c:v>37281</c:v>
                </c:pt>
                <c:pt idx="57">
                  <c:v>38916</c:v>
                </c:pt>
                <c:pt idx="58">
                  <c:v>37580</c:v>
                </c:pt>
                <c:pt idx="59">
                  <c:v>41035</c:v>
                </c:pt>
                <c:pt idx="60">
                  <c:v>41070</c:v>
                </c:pt>
                <c:pt idx="61">
                  <c:v>36721</c:v>
                </c:pt>
                <c:pt idx="62">
                  <c:v>27691</c:v>
                </c:pt>
                <c:pt idx="63">
                  <c:v>6859</c:v>
                </c:pt>
                <c:pt idx="64">
                  <c:v>8414</c:v>
                </c:pt>
                <c:pt idx="65">
                  <c:v>10051</c:v>
                </c:pt>
                <c:pt idx="66">
                  <c:v>12598</c:v>
                </c:pt>
                <c:pt idx="67">
                  <c:v>15262</c:v>
                </c:pt>
                <c:pt idx="68">
                  <c:v>17417</c:v>
                </c:pt>
                <c:pt idx="69">
                  <c:v>21299</c:v>
                </c:pt>
                <c:pt idx="70">
                  <c:v>20867</c:v>
                </c:pt>
                <c:pt idx="71">
                  <c:v>24535</c:v>
                </c:pt>
                <c:pt idx="72">
                  <c:v>23259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BDA-4EAE-9C0C-F2462C9F9BFF}"/>
            </c:ext>
          </c:extLst>
        </c:ser>
        <c:ser>
          <c:idx val="0"/>
          <c:order val="1"/>
          <c:tx>
            <c:strRef>
              <c:f>EmbDesemBUS!$M$2</c:f>
              <c:strCache>
                <c:ptCount val="1"/>
                <c:pt idx="0">
                  <c:v>Partidas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EmbDesemBUS!$M$39:$M$111</c:f>
              <c:numCache>
                <c:formatCode>#,##0</c:formatCode>
                <c:ptCount val="73"/>
                <c:pt idx="0">
                  <c:v>21010</c:v>
                </c:pt>
                <c:pt idx="1">
                  <c:v>19061</c:v>
                </c:pt>
                <c:pt idx="2">
                  <c:v>20167</c:v>
                </c:pt>
                <c:pt idx="3">
                  <c:v>20602</c:v>
                </c:pt>
                <c:pt idx="4">
                  <c:v>20371</c:v>
                </c:pt>
                <c:pt idx="5">
                  <c:v>20296</c:v>
                </c:pt>
                <c:pt idx="6">
                  <c:v>20199</c:v>
                </c:pt>
                <c:pt idx="7">
                  <c:v>19680</c:v>
                </c:pt>
                <c:pt idx="8">
                  <c:v>18830</c:v>
                </c:pt>
                <c:pt idx="9">
                  <c:v>19658</c:v>
                </c:pt>
                <c:pt idx="10">
                  <c:v>18711</c:v>
                </c:pt>
                <c:pt idx="11">
                  <c:v>20680</c:v>
                </c:pt>
                <c:pt idx="12">
                  <c:v>19877</c:v>
                </c:pt>
                <c:pt idx="13">
                  <c:v>18555</c:v>
                </c:pt>
                <c:pt idx="14">
                  <c:v>19553</c:v>
                </c:pt>
                <c:pt idx="15">
                  <c:v>18778</c:v>
                </c:pt>
                <c:pt idx="16">
                  <c:v>19290</c:v>
                </c:pt>
                <c:pt idx="17">
                  <c:v>18385</c:v>
                </c:pt>
                <c:pt idx="18">
                  <c:v>19480</c:v>
                </c:pt>
                <c:pt idx="19">
                  <c:v>19174</c:v>
                </c:pt>
                <c:pt idx="20">
                  <c:v>18431</c:v>
                </c:pt>
                <c:pt idx="21">
                  <c:v>19079</c:v>
                </c:pt>
                <c:pt idx="22">
                  <c:v>18418</c:v>
                </c:pt>
                <c:pt idx="23">
                  <c:v>20085</c:v>
                </c:pt>
                <c:pt idx="24">
                  <c:v>19401</c:v>
                </c:pt>
                <c:pt idx="25">
                  <c:v>17346</c:v>
                </c:pt>
                <c:pt idx="26">
                  <c:v>18844</c:v>
                </c:pt>
                <c:pt idx="27">
                  <c:v>19322</c:v>
                </c:pt>
                <c:pt idx="28">
                  <c:v>19515</c:v>
                </c:pt>
                <c:pt idx="29">
                  <c:v>19103</c:v>
                </c:pt>
                <c:pt idx="30">
                  <c:v>19720</c:v>
                </c:pt>
                <c:pt idx="31">
                  <c:v>19176</c:v>
                </c:pt>
                <c:pt idx="32">
                  <c:v>18986</c:v>
                </c:pt>
                <c:pt idx="33">
                  <c:v>19688</c:v>
                </c:pt>
                <c:pt idx="34">
                  <c:v>18672</c:v>
                </c:pt>
                <c:pt idx="35">
                  <c:v>20907</c:v>
                </c:pt>
                <c:pt idx="36">
                  <c:v>20495</c:v>
                </c:pt>
                <c:pt idx="37">
                  <c:v>17948</c:v>
                </c:pt>
                <c:pt idx="38">
                  <c:v>19317</c:v>
                </c:pt>
                <c:pt idx="39">
                  <c:v>18646</c:v>
                </c:pt>
                <c:pt idx="40">
                  <c:v>18426</c:v>
                </c:pt>
                <c:pt idx="41">
                  <c:v>18161</c:v>
                </c:pt>
                <c:pt idx="42">
                  <c:v>19397</c:v>
                </c:pt>
                <c:pt idx="43">
                  <c:v>18933</c:v>
                </c:pt>
                <c:pt idx="44">
                  <c:v>18625</c:v>
                </c:pt>
                <c:pt idx="45">
                  <c:v>19372</c:v>
                </c:pt>
                <c:pt idx="46">
                  <c:v>18984</c:v>
                </c:pt>
                <c:pt idx="47">
                  <c:v>20070</c:v>
                </c:pt>
                <c:pt idx="48">
                  <c:v>19756</c:v>
                </c:pt>
                <c:pt idx="49">
                  <c:v>17332</c:v>
                </c:pt>
                <c:pt idx="50">
                  <c:v>19614</c:v>
                </c:pt>
                <c:pt idx="51">
                  <c:v>18745</c:v>
                </c:pt>
                <c:pt idx="52">
                  <c:v>18868</c:v>
                </c:pt>
                <c:pt idx="53">
                  <c:v>18420</c:v>
                </c:pt>
                <c:pt idx="54">
                  <c:v>19872</c:v>
                </c:pt>
                <c:pt idx="55">
                  <c:v>19264</c:v>
                </c:pt>
                <c:pt idx="56">
                  <c:v>18679</c:v>
                </c:pt>
                <c:pt idx="57">
                  <c:v>19554</c:v>
                </c:pt>
                <c:pt idx="58">
                  <c:v>18859</c:v>
                </c:pt>
                <c:pt idx="59">
                  <c:v>20860</c:v>
                </c:pt>
                <c:pt idx="60">
                  <c:v>20435</c:v>
                </c:pt>
                <c:pt idx="61">
                  <c:v>18368</c:v>
                </c:pt>
                <c:pt idx="62">
                  <c:v>13947</c:v>
                </c:pt>
                <c:pt idx="63">
                  <c:v>3616</c:v>
                </c:pt>
                <c:pt idx="64">
                  <c:v>4486</c:v>
                </c:pt>
                <c:pt idx="65">
                  <c:v>5344</c:v>
                </c:pt>
                <c:pt idx="66">
                  <c:v>6306</c:v>
                </c:pt>
                <c:pt idx="67">
                  <c:v>7571</c:v>
                </c:pt>
                <c:pt idx="68">
                  <c:v>8615</c:v>
                </c:pt>
                <c:pt idx="69">
                  <c:v>10752</c:v>
                </c:pt>
                <c:pt idx="70">
                  <c:v>10349</c:v>
                </c:pt>
                <c:pt idx="71">
                  <c:v>12456</c:v>
                </c:pt>
                <c:pt idx="72">
                  <c:v>11550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EBDA-4EAE-9C0C-F2462C9F9BFF}"/>
            </c:ext>
          </c:extLst>
        </c:ser>
        <c:ser>
          <c:idx val="1"/>
          <c:order val="2"/>
          <c:tx>
            <c:strRef>
              <c:f>EmbDesemBUS!$O$2</c:f>
              <c:strCache>
                <c:ptCount val="1"/>
                <c:pt idx="0">
                  <c:v>Chegadas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EmbDesemBUS!$O$39:$O$111</c:f>
              <c:numCache>
                <c:formatCode>#,##0</c:formatCode>
                <c:ptCount val="73"/>
                <c:pt idx="0">
                  <c:v>21139</c:v>
                </c:pt>
                <c:pt idx="1">
                  <c:v>18761</c:v>
                </c:pt>
                <c:pt idx="2">
                  <c:v>19799</c:v>
                </c:pt>
                <c:pt idx="3">
                  <c:v>19906</c:v>
                </c:pt>
                <c:pt idx="4">
                  <c:v>19605</c:v>
                </c:pt>
                <c:pt idx="5">
                  <c:v>19566</c:v>
                </c:pt>
                <c:pt idx="6">
                  <c:v>20232</c:v>
                </c:pt>
                <c:pt idx="7">
                  <c:v>19854</c:v>
                </c:pt>
                <c:pt idx="8">
                  <c:v>18969</c:v>
                </c:pt>
                <c:pt idx="9">
                  <c:v>19440</c:v>
                </c:pt>
                <c:pt idx="10">
                  <c:v>18417</c:v>
                </c:pt>
                <c:pt idx="11">
                  <c:v>19919</c:v>
                </c:pt>
                <c:pt idx="12">
                  <c:v>19812</c:v>
                </c:pt>
                <c:pt idx="13">
                  <c:v>18180</c:v>
                </c:pt>
                <c:pt idx="14">
                  <c:v>19125</c:v>
                </c:pt>
                <c:pt idx="15">
                  <c:v>18038</c:v>
                </c:pt>
                <c:pt idx="16">
                  <c:v>18986</c:v>
                </c:pt>
                <c:pt idx="17">
                  <c:v>18123</c:v>
                </c:pt>
                <c:pt idx="18">
                  <c:v>19160</c:v>
                </c:pt>
                <c:pt idx="19">
                  <c:v>18928</c:v>
                </c:pt>
                <c:pt idx="20">
                  <c:v>18084</c:v>
                </c:pt>
                <c:pt idx="21">
                  <c:v>18749</c:v>
                </c:pt>
                <c:pt idx="22">
                  <c:v>17898</c:v>
                </c:pt>
                <c:pt idx="23">
                  <c:v>19187</c:v>
                </c:pt>
                <c:pt idx="24">
                  <c:v>19687</c:v>
                </c:pt>
                <c:pt idx="25">
                  <c:v>16592</c:v>
                </c:pt>
                <c:pt idx="26">
                  <c:v>18588</c:v>
                </c:pt>
                <c:pt idx="27">
                  <c:v>19107</c:v>
                </c:pt>
                <c:pt idx="28">
                  <c:v>19151</c:v>
                </c:pt>
                <c:pt idx="29">
                  <c:v>18765</c:v>
                </c:pt>
                <c:pt idx="30">
                  <c:v>20817</c:v>
                </c:pt>
                <c:pt idx="31">
                  <c:v>20364</c:v>
                </c:pt>
                <c:pt idx="32">
                  <c:v>19833</c:v>
                </c:pt>
                <c:pt idx="33">
                  <c:v>19564</c:v>
                </c:pt>
                <c:pt idx="34">
                  <c:v>18304</c:v>
                </c:pt>
                <c:pt idx="35">
                  <c:v>19908</c:v>
                </c:pt>
                <c:pt idx="36">
                  <c:v>20519</c:v>
                </c:pt>
                <c:pt idx="37">
                  <c:v>17888</c:v>
                </c:pt>
                <c:pt idx="38">
                  <c:v>18817</c:v>
                </c:pt>
                <c:pt idx="39">
                  <c:v>18647</c:v>
                </c:pt>
                <c:pt idx="40">
                  <c:v>18223</c:v>
                </c:pt>
                <c:pt idx="41">
                  <c:v>17993</c:v>
                </c:pt>
                <c:pt idx="42">
                  <c:v>19360</c:v>
                </c:pt>
                <c:pt idx="43">
                  <c:v>18806</c:v>
                </c:pt>
                <c:pt idx="44">
                  <c:v>18553</c:v>
                </c:pt>
                <c:pt idx="45">
                  <c:v>19320</c:v>
                </c:pt>
                <c:pt idx="46">
                  <c:v>18267</c:v>
                </c:pt>
                <c:pt idx="47">
                  <c:v>19509</c:v>
                </c:pt>
                <c:pt idx="48">
                  <c:v>19922</c:v>
                </c:pt>
                <c:pt idx="49">
                  <c:v>17164</c:v>
                </c:pt>
                <c:pt idx="50">
                  <c:v>19317</c:v>
                </c:pt>
                <c:pt idx="51">
                  <c:v>18604</c:v>
                </c:pt>
                <c:pt idx="52">
                  <c:v>18732</c:v>
                </c:pt>
                <c:pt idx="53">
                  <c:v>18247</c:v>
                </c:pt>
                <c:pt idx="54">
                  <c:v>19411</c:v>
                </c:pt>
                <c:pt idx="55">
                  <c:v>19067</c:v>
                </c:pt>
                <c:pt idx="56">
                  <c:v>18602</c:v>
                </c:pt>
                <c:pt idx="57">
                  <c:v>19362</c:v>
                </c:pt>
                <c:pt idx="58">
                  <c:v>18721</c:v>
                </c:pt>
                <c:pt idx="59">
                  <c:v>20175</c:v>
                </c:pt>
                <c:pt idx="60">
                  <c:v>20635</c:v>
                </c:pt>
                <c:pt idx="61">
                  <c:v>18353</c:v>
                </c:pt>
                <c:pt idx="62">
                  <c:v>13744</c:v>
                </c:pt>
                <c:pt idx="63">
                  <c:v>3243</c:v>
                </c:pt>
                <c:pt idx="64">
                  <c:v>3928</c:v>
                </c:pt>
                <c:pt idx="65">
                  <c:v>4707</c:v>
                </c:pt>
                <c:pt idx="66">
                  <c:v>6292</c:v>
                </c:pt>
                <c:pt idx="67">
                  <c:v>7691</c:v>
                </c:pt>
                <c:pt idx="68">
                  <c:v>8802</c:v>
                </c:pt>
                <c:pt idx="69">
                  <c:v>10547</c:v>
                </c:pt>
                <c:pt idx="70">
                  <c:v>10518</c:v>
                </c:pt>
                <c:pt idx="71">
                  <c:v>12079</c:v>
                </c:pt>
                <c:pt idx="72">
                  <c:v>11709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EBDA-4EAE-9C0C-F2462C9F9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44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2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EmbDesemBUS!$Q$2</c:f>
              <c:strCache>
                <c:ptCount val="1"/>
                <c:pt idx="0">
                  <c:v>Movimentação Passageiros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EmbDesemBUS!$A$39:$A$111</c:f>
              <c:numCache>
                <c:formatCode>[$-416]mmm\-yy;@</c:formatCode>
                <c:ptCount val="73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</c:numCache>
            </c:numRef>
          </c:cat>
          <c:val>
            <c:numRef>
              <c:f>EmbDesemBUS!$Q$39:$Q$111</c:f>
              <c:numCache>
                <c:formatCode>#,##0</c:formatCode>
                <c:ptCount val="73"/>
                <c:pt idx="0">
                  <c:v>831245</c:v>
                </c:pt>
                <c:pt idx="1">
                  <c:v>681788</c:v>
                </c:pt>
                <c:pt idx="2">
                  <c:v>626654</c:v>
                </c:pt>
                <c:pt idx="3">
                  <c:v>722277</c:v>
                </c:pt>
                <c:pt idx="4">
                  <c:v>646591</c:v>
                </c:pt>
                <c:pt idx="5">
                  <c:v>653217</c:v>
                </c:pt>
                <c:pt idx="6">
                  <c:v>795403</c:v>
                </c:pt>
                <c:pt idx="7">
                  <c:v>675782</c:v>
                </c:pt>
                <c:pt idx="8">
                  <c:v>640207</c:v>
                </c:pt>
                <c:pt idx="9">
                  <c:v>708223</c:v>
                </c:pt>
                <c:pt idx="10">
                  <c:v>639262</c:v>
                </c:pt>
                <c:pt idx="11">
                  <c:v>815140</c:v>
                </c:pt>
                <c:pt idx="12">
                  <c:v>766240</c:v>
                </c:pt>
                <c:pt idx="13">
                  <c:v>640097</c:v>
                </c:pt>
                <c:pt idx="14">
                  <c:v>636268</c:v>
                </c:pt>
                <c:pt idx="15">
                  <c:v>591279</c:v>
                </c:pt>
                <c:pt idx="16">
                  <c:v>617523</c:v>
                </c:pt>
                <c:pt idx="17">
                  <c:v>527127</c:v>
                </c:pt>
                <c:pt idx="18">
                  <c:v>719688</c:v>
                </c:pt>
                <c:pt idx="19">
                  <c:v>605063</c:v>
                </c:pt>
                <c:pt idx="20">
                  <c:v>572676</c:v>
                </c:pt>
                <c:pt idx="21">
                  <c:v>622836</c:v>
                </c:pt>
                <c:pt idx="22">
                  <c:v>564209</c:v>
                </c:pt>
                <c:pt idx="23">
                  <c:v>743549</c:v>
                </c:pt>
                <c:pt idx="24">
                  <c:v>716509</c:v>
                </c:pt>
                <c:pt idx="25">
                  <c:v>531748</c:v>
                </c:pt>
                <c:pt idx="26">
                  <c:v>564324</c:v>
                </c:pt>
                <c:pt idx="27">
                  <c:v>656537</c:v>
                </c:pt>
                <c:pt idx="28">
                  <c:v>600957</c:v>
                </c:pt>
                <c:pt idx="29">
                  <c:v>602179</c:v>
                </c:pt>
                <c:pt idx="30">
                  <c:v>756715</c:v>
                </c:pt>
                <c:pt idx="31">
                  <c:v>624566</c:v>
                </c:pt>
                <c:pt idx="32">
                  <c:v>660185</c:v>
                </c:pt>
                <c:pt idx="33">
                  <c:v>681792</c:v>
                </c:pt>
                <c:pt idx="34">
                  <c:v>556227</c:v>
                </c:pt>
                <c:pt idx="35">
                  <c:v>824019</c:v>
                </c:pt>
                <c:pt idx="36">
                  <c:v>819208</c:v>
                </c:pt>
                <c:pt idx="37">
                  <c:v>644004</c:v>
                </c:pt>
                <c:pt idx="38">
                  <c:v>627398</c:v>
                </c:pt>
                <c:pt idx="39">
                  <c:v>641093</c:v>
                </c:pt>
                <c:pt idx="40">
                  <c:v>633721</c:v>
                </c:pt>
                <c:pt idx="41">
                  <c:v>607930</c:v>
                </c:pt>
                <c:pt idx="42">
                  <c:v>794537</c:v>
                </c:pt>
                <c:pt idx="43">
                  <c:v>653017</c:v>
                </c:pt>
                <c:pt idx="44">
                  <c:v>681369</c:v>
                </c:pt>
                <c:pt idx="45">
                  <c:v>720917</c:v>
                </c:pt>
                <c:pt idx="46">
                  <c:v>707056</c:v>
                </c:pt>
                <c:pt idx="47">
                  <c:v>842508</c:v>
                </c:pt>
                <c:pt idx="48">
                  <c:v>866996</c:v>
                </c:pt>
                <c:pt idx="49">
                  <c:v>665904</c:v>
                </c:pt>
                <c:pt idx="50">
                  <c:v>694671</c:v>
                </c:pt>
                <c:pt idx="51">
                  <c:v>656966</c:v>
                </c:pt>
                <c:pt idx="52">
                  <c:v>638423</c:v>
                </c:pt>
                <c:pt idx="53">
                  <c:v>642244</c:v>
                </c:pt>
                <c:pt idx="54">
                  <c:v>817680</c:v>
                </c:pt>
                <c:pt idx="55">
                  <c:v>680782</c:v>
                </c:pt>
                <c:pt idx="56">
                  <c:v>674080</c:v>
                </c:pt>
                <c:pt idx="57">
                  <c:v>754037</c:v>
                </c:pt>
                <c:pt idx="58">
                  <c:v>671007</c:v>
                </c:pt>
                <c:pt idx="59">
                  <c:v>856542</c:v>
                </c:pt>
                <c:pt idx="60">
                  <c:v>816935</c:v>
                </c:pt>
                <c:pt idx="61">
                  <c:v>660375</c:v>
                </c:pt>
                <c:pt idx="62">
                  <c:v>392160</c:v>
                </c:pt>
                <c:pt idx="63">
                  <c:v>66307</c:v>
                </c:pt>
                <c:pt idx="64">
                  <c:v>98864</c:v>
                </c:pt>
                <c:pt idx="65">
                  <c:v>131821</c:v>
                </c:pt>
                <c:pt idx="66">
                  <c:v>163393</c:v>
                </c:pt>
                <c:pt idx="67">
                  <c:v>221188</c:v>
                </c:pt>
                <c:pt idx="68">
                  <c:v>281788</c:v>
                </c:pt>
                <c:pt idx="69">
                  <c:v>368829</c:v>
                </c:pt>
                <c:pt idx="70">
                  <c:v>352359</c:v>
                </c:pt>
                <c:pt idx="71">
                  <c:v>436644</c:v>
                </c:pt>
                <c:pt idx="72">
                  <c:v>380839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D19-409B-94A1-95D892BEB643}"/>
            </c:ext>
          </c:extLst>
        </c:ser>
        <c:ser>
          <c:idx val="0"/>
          <c:order val="1"/>
          <c:tx>
            <c:strRef>
              <c:f>EmbDesemBUS!$N$2</c:f>
              <c:strCache>
                <c:ptCount val="1"/>
                <c:pt idx="0">
                  <c:v>Embarques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EmbDesemBUS!$N$39:$N$111</c:f>
              <c:numCache>
                <c:formatCode>#,##0</c:formatCode>
                <c:ptCount val="73"/>
                <c:pt idx="0">
                  <c:v>409335</c:v>
                </c:pt>
                <c:pt idx="1">
                  <c:v>350794</c:v>
                </c:pt>
                <c:pt idx="2">
                  <c:v>322177</c:v>
                </c:pt>
                <c:pt idx="3">
                  <c:v>375694</c:v>
                </c:pt>
                <c:pt idx="4">
                  <c:v>337856</c:v>
                </c:pt>
                <c:pt idx="5">
                  <c:v>341910</c:v>
                </c:pt>
                <c:pt idx="6">
                  <c:v>411140</c:v>
                </c:pt>
                <c:pt idx="7">
                  <c:v>340225</c:v>
                </c:pt>
                <c:pt idx="8">
                  <c:v>329138</c:v>
                </c:pt>
                <c:pt idx="9">
                  <c:v>367811</c:v>
                </c:pt>
                <c:pt idx="10">
                  <c:v>336667</c:v>
                </c:pt>
                <c:pt idx="11">
                  <c:v>437250</c:v>
                </c:pt>
                <c:pt idx="12">
                  <c:v>380513</c:v>
                </c:pt>
                <c:pt idx="13">
                  <c:v>328735</c:v>
                </c:pt>
                <c:pt idx="14">
                  <c:v>329375</c:v>
                </c:pt>
                <c:pt idx="15">
                  <c:v>309593</c:v>
                </c:pt>
                <c:pt idx="16">
                  <c:v>323151</c:v>
                </c:pt>
                <c:pt idx="17">
                  <c:v>274175</c:v>
                </c:pt>
                <c:pt idx="18">
                  <c:v>378066</c:v>
                </c:pt>
                <c:pt idx="19">
                  <c:v>308543</c:v>
                </c:pt>
                <c:pt idx="20">
                  <c:v>300727</c:v>
                </c:pt>
                <c:pt idx="21">
                  <c:v>322650</c:v>
                </c:pt>
                <c:pt idx="22">
                  <c:v>293906</c:v>
                </c:pt>
                <c:pt idx="23">
                  <c:v>403759</c:v>
                </c:pt>
                <c:pt idx="24">
                  <c:v>356623</c:v>
                </c:pt>
                <c:pt idx="25">
                  <c:v>285277</c:v>
                </c:pt>
                <c:pt idx="26">
                  <c:v>286522</c:v>
                </c:pt>
                <c:pt idx="27">
                  <c:v>343488</c:v>
                </c:pt>
                <c:pt idx="28">
                  <c:v>311479</c:v>
                </c:pt>
                <c:pt idx="29">
                  <c:v>315734</c:v>
                </c:pt>
                <c:pt idx="30">
                  <c:v>383014</c:v>
                </c:pt>
                <c:pt idx="31">
                  <c:v>306193</c:v>
                </c:pt>
                <c:pt idx="32">
                  <c:v>332205</c:v>
                </c:pt>
                <c:pt idx="33">
                  <c:v>352423</c:v>
                </c:pt>
                <c:pt idx="34">
                  <c:v>307568</c:v>
                </c:pt>
                <c:pt idx="35">
                  <c:v>447825</c:v>
                </c:pt>
                <c:pt idx="36">
                  <c:v>404742</c:v>
                </c:pt>
                <c:pt idx="37">
                  <c:v>326680</c:v>
                </c:pt>
                <c:pt idx="38">
                  <c:v>335033</c:v>
                </c:pt>
                <c:pt idx="39">
                  <c:v>324865</c:v>
                </c:pt>
                <c:pt idx="40">
                  <c:v>329286</c:v>
                </c:pt>
                <c:pt idx="41">
                  <c:v>311013</c:v>
                </c:pt>
                <c:pt idx="42">
                  <c:v>410791</c:v>
                </c:pt>
                <c:pt idx="43">
                  <c:v>332367</c:v>
                </c:pt>
                <c:pt idx="44">
                  <c:v>351410</c:v>
                </c:pt>
                <c:pt idx="45">
                  <c:v>370971</c:v>
                </c:pt>
                <c:pt idx="46">
                  <c:v>389519</c:v>
                </c:pt>
                <c:pt idx="47">
                  <c:v>450738</c:v>
                </c:pt>
                <c:pt idx="48">
                  <c:v>428711</c:v>
                </c:pt>
                <c:pt idx="49">
                  <c:v>339747</c:v>
                </c:pt>
                <c:pt idx="50">
                  <c:v>353052</c:v>
                </c:pt>
                <c:pt idx="51">
                  <c:v>335437</c:v>
                </c:pt>
                <c:pt idx="52">
                  <c:v>331305</c:v>
                </c:pt>
                <c:pt idx="53">
                  <c:v>336256</c:v>
                </c:pt>
                <c:pt idx="54">
                  <c:v>433771</c:v>
                </c:pt>
                <c:pt idx="55">
                  <c:v>349899</c:v>
                </c:pt>
                <c:pt idx="56">
                  <c:v>354901</c:v>
                </c:pt>
                <c:pt idx="57">
                  <c:v>401377</c:v>
                </c:pt>
                <c:pt idx="58">
                  <c:v>339980</c:v>
                </c:pt>
                <c:pt idx="59">
                  <c:v>458240</c:v>
                </c:pt>
                <c:pt idx="60">
                  <c:v>391197</c:v>
                </c:pt>
                <c:pt idx="61">
                  <c:v>332598</c:v>
                </c:pt>
                <c:pt idx="62">
                  <c:v>196725</c:v>
                </c:pt>
                <c:pt idx="63">
                  <c:v>35511</c:v>
                </c:pt>
                <c:pt idx="64">
                  <c:v>52611</c:v>
                </c:pt>
                <c:pt idx="65">
                  <c:v>70764</c:v>
                </c:pt>
                <c:pt idx="66">
                  <c:v>82416</c:v>
                </c:pt>
                <c:pt idx="67">
                  <c:v>109095</c:v>
                </c:pt>
                <c:pt idx="68">
                  <c:v>140527</c:v>
                </c:pt>
                <c:pt idx="69">
                  <c:v>189732</c:v>
                </c:pt>
                <c:pt idx="70">
                  <c:v>174852</c:v>
                </c:pt>
                <c:pt idx="71">
                  <c:v>229286</c:v>
                </c:pt>
                <c:pt idx="72">
                  <c:v>182385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D19-409B-94A1-95D892BEB643}"/>
            </c:ext>
          </c:extLst>
        </c:ser>
        <c:ser>
          <c:idx val="1"/>
          <c:order val="2"/>
          <c:tx>
            <c:strRef>
              <c:f>EmbDesemBUS!$P$2</c:f>
              <c:strCache>
                <c:ptCount val="1"/>
                <c:pt idx="0">
                  <c:v>Desembarques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EmbDesemBUS!$P$39:$P$111</c:f>
              <c:numCache>
                <c:formatCode>#,##0</c:formatCode>
                <c:ptCount val="73"/>
                <c:pt idx="0">
                  <c:v>421910</c:v>
                </c:pt>
                <c:pt idx="1">
                  <c:v>330994</c:v>
                </c:pt>
                <c:pt idx="2">
                  <c:v>304477</c:v>
                </c:pt>
                <c:pt idx="3">
                  <c:v>346583</c:v>
                </c:pt>
                <c:pt idx="4">
                  <c:v>308735</c:v>
                </c:pt>
                <c:pt idx="5">
                  <c:v>311307</c:v>
                </c:pt>
                <c:pt idx="6">
                  <c:v>384263</c:v>
                </c:pt>
                <c:pt idx="7">
                  <c:v>335557</c:v>
                </c:pt>
                <c:pt idx="8">
                  <c:v>311069</c:v>
                </c:pt>
                <c:pt idx="9">
                  <c:v>340412</c:v>
                </c:pt>
                <c:pt idx="10">
                  <c:v>302595</c:v>
                </c:pt>
                <c:pt idx="11">
                  <c:v>377890</c:v>
                </c:pt>
                <c:pt idx="12">
                  <c:v>385727</c:v>
                </c:pt>
                <c:pt idx="13">
                  <c:v>311362</c:v>
                </c:pt>
                <c:pt idx="14">
                  <c:v>306893</c:v>
                </c:pt>
                <c:pt idx="15">
                  <c:v>281686</c:v>
                </c:pt>
                <c:pt idx="16">
                  <c:v>294372</c:v>
                </c:pt>
                <c:pt idx="17">
                  <c:v>252952</c:v>
                </c:pt>
                <c:pt idx="18">
                  <c:v>341622</c:v>
                </c:pt>
                <c:pt idx="19">
                  <c:v>296520</c:v>
                </c:pt>
                <c:pt idx="20">
                  <c:v>271949</c:v>
                </c:pt>
                <c:pt idx="21">
                  <c:v>300186</c:v>
                </c:pt>
                <c:pt idx="22">
                  <c:v>270303</c:v>
                </c:pt>
                <c:pt idx="23">
                  <c:v>339790</c:v>
                </c:pt>
                <c:pt idx="24">
                  <c:v>359886</c:v>
                </c:pt>
                <c:pt idx="25">
                  <c:v>246471</c:v>
                </c:pt>
                <c:pt idx="26">
                  <c:v>277802</c:v>
                </c:pt>
                <c:pt idx="27">
                  <c:v>313049</c:v>
                </c:pt>
                <c:pt idx="28">
                  <c:v>289478</c:v>
                </c:pt>
                <c:pt idx="29">
                  <c:v>286445</c:v>
                </c:pt>
                <c:pt idx="30">
                  <c:v>373701</c:v>
                </c:pt>
                <c:pt idx="31">
                  <c:v>318373</c:v>
                </c:pt>
                <c:pt idx="32">
                  <c:v>327980</c:v>
                </c:pt>
                <c:pt idx="33">
                  <c:v>329369</c:v>
                </c:pt>
                <c:pt idx="34">
                  <c:v>248659</c:v>
                </c:pt>
                <c:pt idx="35">
                  <c:v>376194</c:v>
                </c:pt>
                <c:pt idx="36">
                  <c:v>414466</c:v>
                </c:pt>
                <c:pt idx="37">
                  <c:v>317324</c:v>
                </c:pt>
                <c:pt idx="38">
                  <c:v>292365</c:v>
                </c:pt>
                <c:pt idx="39">
                  <c:v>316228</c:v>
                </c:pt>
                <c:pt idx="40">
                  <c:v>304435</c:v>
                </c:pt>
                <c:pt idx="41">
                  <c:v>296917</c:v>
                </c:pt>
                <c:pt idx="42">
                  <c:v>383746</c:v>
                </c:pt>
                <c:pt idx="43">
                  <c:v>320650</c:v>
                </c:pt>
                <c:pt idx="44">
                  <c:v>329959</c:v>
                </c:pt>
                <c:pt idx="45">
                  <c:v>349946</c:v>
                </c:pt>
                <c:pt idx="46">
                  <c:v>317537</c:v>
                </c:pt>
                <c:pt idx="47">
                  <c:v>391770</c:v>
                </c:pt>
                <c:pt idx="48">
                  <c:v>438285</c:v>
                </c:pt>
                <c:pt idx="49">
                  <c:v>326157</c:v>
                </c:pt>
                <c:pt idx="50">
                  <c:v>341619</c:v>
                </c:pt>
                <c:pt idx="51">
                  <c:v>321529</c:v>
                </c:pt>
                <c:pt idx="52">
                  <c:v>307118</c:v>
                </c:pt>
                <c:pt idx="53">
                  <c:v>305988</c:v>
                </c:pt>
                <c:pt idx="54">
                  <c:v>383909</c:v>
                </c:pt>
                <c:pt idx="55">
                  <c:v>330883</c:v>
                </c:pt>
                <c:pt idx="56">
                  <c:v>319179</c:v>
                </c:pt>
                <c:pt idx="57">
                  <c:v>352660</c:v>
                </c:pt>
                <c:pt idx="58">
                  <c:v>331027</c:v>
                </c:pt>
                <c:pt idx="59">
                  <c:v>398302</c:v>
                </c:pt>
                <c:pt idx="60">
                  <c:v>425738</c:v>
                </c:pt>
                <c:pt idx="61">
                  <c:v>327777</c:v>
                </c:pt>
                <c:pt idx="62">
                  <c:v>195435</c:v>
                </c:pt>
                <c:pt idx="63">
                  <c:v>30796</c:v>
                </c:pt>
                <c:pt idx="64">
                  <c:v>46253</c:v>
                </c:pt>
                <c:pt idx="65">
                  <c:v>61057</c:v>
                </c:pt>
                <c:pt idx="66">
                  <c:v>80977</c:v>
                </c:pt>
                <c:pt idx="67">
                  <c:v>112093</c:v>
                </c:pt>
                <c:pt idx="68">
                  <c:v>141261</c:v>
                </c:pt>
                <c:pt idx="69">
                  <c:v>179097</c:v>
                </c:pt>
                <c:pt idx="70">
                  <c:v>177507</c:v>
                </c:pt>
                <c:pt idx="71">
                  <c:v>207358</c:v>
                </c:pt>
                <c:pt idx="72">
                  <c:v>198454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ED19-409B-94A1-95D892BEB6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9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Estacionamento!$B$1</c:f>
              <c:strCache>
                <c:ptCount val="1"/>
                <c:pt idx="0">
                  <c:v>Entradas nos Estacionamentos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Estacionamento!$A$86:$A$109</c:f>
              <c:numCache>
                <c:formatCode>mmm\-yy</c:formatCode>
                <c:ptCount val="24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</c:numCache>
            </c:numRef>
          </c:cat>
          <c:val>
            <c:numRef>
              <c:f>Estacionamento!$B$86:$B$109</c:f>
              <c:numCache>
                <c:formatCode>#,##0</c:formatCode>
                <c:ptCount val="24"/>
                <c:pt idx="0">
                  <c:v>77821</c:v>
                </c:pt>
                <c:pt idx="1">
                  <c:v>54663</c:v>
                </c:pt>
                <c:pt idx="2">
                  <c:v>56727</c:v>
                </c:pt>
                <c:pt idx="3">
                  <c:v>56424</c:v>
                </c:pt>
                <c:pt idx="4">
                  <c:v>57043</c:v>
                </c:pt>
                <c:pt idx="5">
                  <c:v>57819</c:v>
                </c:pt>
                <c:pt idx="7">
                  <c:v>56770</c:v>
                </c:pt>
                <c:pt idx="8">
                  <c:v>53933</c:v>
                </c:pt>
                <c:pt idx="9">
                  <c:v>61600</c:v>
                </c:pt>
                <c:pt idx="10">
                  <c:v>56957</c:v>
                </c:pt>
                <c:pt idx="11">
                  <c:v>75579</c:v>
                </c:pt>
                <c:pt idx="12">
                  <c:v>69229</c:v>
                </c:pt>
                <c:pt idx="13">
                  <c:v>47242</c:v>
                </c:pt>
                <c:pt idx="14">
                  <c:v>33506</c:v>
                </c:pt>
                <c:pt idx="16">
                  <c:v>15191</c:v>
                </c:pt>
                <c:pt idx="17">
                  <c:v>22191</c:v>
                </c:pt>
                <c:pt idx="18">
                  <c:v>22978</c:v>
                </c:pt>
                <c:pt idx="19">
                  <c:v>29415</c:v>
                </c:pt>
                <c:pt idx="20">
                  <c:v>34223</c:v>
                </c:pt>
                <c:pt idx="21">
                  <c:v>40023</c:v>
                </c:pt>
                <c:pt idx="22">
                  <c:v>37645</c:v>
                </c:pt>
                <c:pt idx="23">
                  <c:v>46644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D66-4633-BBC7-F3A15DA74C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8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"/>
        <c:minorUnit val="1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635567612871921"/>
          <c:y val="0.95440933112060544"/>
          <c:w val="0.34405522839056885"/>
          <c:h val="3.363252239210009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Sanitários!$B$1</c:f>
              <c:strCache>
                <c:ptCount val="1"/>
                <c:pt idx="0">
                  <c:v>Total Sanitários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Sanitários!$A$86:$A$109</c:f>
              <c:numCache>
                <c:formatCode>mmm\-yy</c:formatCode>
                <c:ptCount val="24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</c:numCache>
            </c:numRef>
          </c:cat>
          <c:val>
            <c:numRef>
              <c:f>Sanitários!$B$86:$B$109</c:f>
              <c:numCache>
                <c:formatCode>#,##0</c:formatCode>
                <c:ptCount val="24"/>
                <c:pt idx="0">
                  <c:v>12410</c:v>
                </c:pt>
                <c:pt idx="1">
                  <c:v>14888</c:v>
                </c:pt>
                <c:pt idx="2">
                  <c:v>22208</c:v>
                </c:pt>
                <c:pt idx="3">
                  <c:v>65441</c:v>
                </c:pt>
                <c:pt idx="4">
                  <c:v>88838</c:v>
                </c:pt>
                <c:pt idx="5">
                  <c:v>82242</c:v>
                </c:pt>
                <c:pt idx="6">
                  <c:v>96026</c:v>
                </c:pt>
                <c:pt idx="7">
                  <c:v>71664</c:v>
                </c:pt>
                <c:pt idx="8">
                  <c:v>70307</c:v>
                </c:pt>
                <c:pt idx="9">
                  <c:v>73817</c:v>
                </c:pt>
                <c:pt idx="10">
                  <c:v>70542</c:v>
                </c:pt>
                <c:pt idx="11">
                  <c:v>91811</c:v>
                </c:pt>
                <c:pt idx="12">
                  <c:v>80676</c:v>
                </c:pt>
                <c:pt idx="13">
                  <c:v>71345</c:v>
                </c:pt>
                <c:pt idx="14">
                  <c:v>76442</c:v>
                </c:pt>
                <c:pt idx="15">
                  <c:v>17389</c:v>
                </c:pt>
                <c:pt idx="16">
                  <c:v>29163</c:v>
                </c:pt>
                <c:pt idx="17">
                  <c:v>38311</c:v>
                </c:pt>
                <c:pt idx="18">
                  <c:v>24314</c:v>
                </c:pt>
                <c:pt idx="19">
                  <c:v>30300</c:v>
                </c:pt>
                <c:pt idx="20">
                  <c:v>44525</c:v>
                </c:pt>
                <c:pt idx="21">
                  <c:v>60775</c:v>
                </c:pt>
                <c:pt idx="22">
                  <c:v>47495</c:v>
                </c:pt>
                <c:pt idx="23">
                  <c:v>48633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A05-4ABC-B1CD-CAA48F3A1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8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"/>
        <c:minorUnit val="1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635567612871921"/>
          <c:y val="0.95440933112060544"/>
          <c:w val="0.34405522839056885"/>
          <c:h val="3.363252239210009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EmbDesemBUS!$F$2</c:f>
              <c:strCache>
                <c:ptCount val="1"/>
                <c:pt idx="0">
                  <c:v>Movimentação Passageiros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EmbDesemBUS!$A$3:$A$111</c:f>
              <c:numCache>
                <c:formatCode>[$-416]mmm\-yy;@</c:formatCode>
                <c:ptCount val="109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43435</c:v>
                </c:pt>
                <c:pt idx="84">
                  <c:v>43466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43586</c:v>
                </c:pt>
                <c:pt idx="89">
                  <c:v>43617</c:v>
                </c:pt>
                <c:pt idx="90">
                  <c:v>43647</c:v>
                </c:pt>
                <c:pt idx="91">
                  <c:v>43678</c:v>
                </c:pt>
                <c:pt idx="92">
                  <c:v>43709</c:v>
                </c:pt>
                <c:pt idx="93">
                  <c:v>43739</c:v>
                </c:pt>
                <c:pt idx="94">
                  <c:v>43770</c:v>
                </c:pt>
                <c:pt idx="95">
                  <c:v>43800</c:v>
                </c:pt>
                <c:pt idx="96">
                  <c:v>43831</c:v>
                </c:pt>
                <c:pt idx="97">
                  <c:v>43862</c:v>
                </c:pt>
                <c:pt idx="98">
                  <c:v>43891</c:v>
                </c:pt>
                <c:pt idx="99">
                  <c:v>43922</c:v>
                </c:pt>
                <c:pt idx="100">
                  <c:v>43952</c:v>
                </c:pt>
                <c:pt idx="101">
                  <c:v>43983</c:v>
                </c:pt>
                <c:pt idx="102">
                  <c:v>44013</c:v>
                </c:pt>
                <c:pt idx="103">
                  <c:v>44044</c:v>
                </c:pt>
                <c:pt idx="104">
                  <c:v>44075</c:v>
                </c:pt>
                <c:pt idx="105">
                  <c:v>44105</c:v>
                </c:pt>
                <c:pt idx="106">
                  <c:v>44136</c:v>
                </c:pt>
                <c:pt idx="107">
                  <c:v>44166</c:v>
                </c:pt>
                <c:pt idx="108">
                  <c:v>44197</c:v>
                </c:pt>
              </c:numCache>
            </c:numRef>
          </c:cat>
          <c:val>
            <c:numRef>
              <c:f>EmbDesemBUS!$F$3:$F$111</c:f>
              <c:numCache>
                <c:formatCode>#,##0</c:formatCode>
                <c:ptCount val="109"/>
                <c:pt idx="0">
                  <c:v>1009732</c:v>
                </c:pt>
                <c:pt idx="1">
                  <c:v>870283</c:v>
                </c:pt>
                <c:pt idx="2">
                  <c:v>751340</c:v>
                </c:pt>
                <c:pt idx="3">
                  <c:v>882275</c:v>
                </c:pt>
                <c:pt idx="4">
                  <c:v>792233</c:v>
                </c:pt>
                <c:pt idx="5">
                  <c:v>794389</c:v>
                </c:pt>
                <c:pt idx="6">
                  <c:v>1012534</c:v>
                </c:pt>
                <c:pt idx="7">
                  <c:v>798419</c:v>
                </c:pt>
                <c:pt idx="8">
                  <c:v>840534</c:v>
                </c:pt>
                <c:pt idx="9">
                  <c:v>899964</c:v>
                </c:pt>
                <c:pt idx="10">
                  <c:v>829435</c:v>
                </c:pt>
                <c:pt idx="11">
                  <c:v>966561</c:v>
                </c:pt>
                <c:pt idx="12">
                  <c:v>1019807</c:v>
                </c:pt>
                <c:pt idx="13">
                  <c:v>837281</c:v>
                </c:pt>
                <c:pt idx="14">
                  <c:v>809275</c:v>
                </c:pt>
                <c:pt idx="15">
                  <c:v>749101</c:v>
                </c:pt>
                <c:pt idx="16">
                  <c:v>812286</c:v>
                </c:pt>
                <c:pt idx="17">
                  <c:v>737263</c:v>
                </c:pt>
                <c:pt idx="18">
                  <c:v>957455</c:v>
                </c:pt>
                <c:pt idx="19">
                  <c:v>836512</c:v>
                </c:pt>
                <c:pt idx="20">
                  <c:v>796317</c:v>
                </c:pt>
                <c:pt idx="21">
                  <c:v>809910</c:v>
                </c:pt>
                <c:pt idx="22">
                  <c:v>802875</c:v>
                </c:pt>
                <c:pt idx="23">
                  <c:v>959228</c:v>
                </c:pt>
                <c:pt idx="24">
                  <c:v>893389</c:v>
                </c:pt>
                <c:pt idx="25">
                  <c:v>707525</c:v>
                </c:pt>
                <c:pt idx="26">
                  <c:v>854819</c:v>
                </c:pt>
                <c:pt idx="27">
                  <c:v>867824</c:v>
                </c:pt>
                <c:pt idx="28">
                  <c:v>773976</c:v>
                </c:pt>
                <c:pt idx="29">
                  <c:v>837941</c:v>
                </c:pt>
                <c:pt idx="30">
                  <c:v>844294</c:v>
                </c:pt>
                <c:pt idx="31">
                  <c:v>830344</c:v>
                </c:pt>
                <c:pt idx="32">
                  <c:v>760930</c:v>
                </c:pt>
                <c:pt idx="33">
                  <c:v>829512</c:v>
                </c:pt>
                <c:pt idx="34">
                  <c:v>738928</c:v>
                </c:pt>
                <c:pt idx="35">
                  <c:v>999967</c:v>
                </c:pt>
                <c:pt idx="36">
                  <c:v>962182</c:v>
                </c:pt>
                <c:pt idx="37">
                  <c:v>768373</c:v>
                </c:pt>
                <c:pt idx="38">
                  <c:v>691621</c:v>
                </c:pt>
                <c:pt idx="39">
                  <c:v>790310</c:v>
                </c:pt>
                <c:pt idx="40">
                  <c:v>698589</c:v>
                </c:pt>
                <c:pt idx="41">
                  <c:v>695393</c:v>
                </c:pt>
                <c:pt idx="42">
                  <c:v>888549</c:v>
                </c:pt>
                <c:pt idx="43">
                  <c:v>739225</c:v>
                </c:pt>
                <c:pt idx="44">
                  <c:v>701350</c:v>
                </c:pt>
                <c:pt idx="45">
                  <c:v>788977</c:v>
                </c:pt>
                <c:pt idx="46">
                  <c:v>660221</c:v>
                </c:pt>
                <c:pt idx="47">
                  <c:v>922446</c:v>
                </c:pt>
                <c:pt idx="48">
                  <c:v>865787</c:v>
                </c:pt>
                <c:pt idx="49">
                  <c:v>706188</c:v>
                </c:pt>
                <c:pt idx="50">
                  <c:v>687480</c:v>
                </c:pt>
                <c:pt idx="51">
                  <c:v>636050</c:v>
                </c:pt>
                <c:pt idx="52">
                  <c:v>661753</c:v>
                </c:pt>
                <c:pt idx="53">
                  <c:v>562793</c:v>
                </c:pt>
                <c:pt idx="54">
                  <c:v>785137</c:v>
                </c:pt>
                <c:pt idx="55">
                  <c:v>650553</c:v>
                </c:pt>
                <c:pt idx="56">
                  <c:v>616795</c:v>
                </c:pt>
                <c:pt idx="57">
                  <c:v>675287</c:v>
                </c:pt>
                <c:pt idx="58">
                  <c:v>605702</c:v>
                </c:pt>
                <c:pt idx="59">
                  <c:v>813621</c:v>
                </c:pt>
                <c:pt idx="60">
                  <c:v>817448</c:v>
                </c:pt>
                <c:pt idx="61">
                  <c:v>581706</c:v>
                </c:pt>
                <c:pt idx="62">
                  <c:v>614515</c:v>
                </c:pt>
                <c:pt idx="63">
                  <c:v>706728</c:v>
                </c:pt>
                <c:pt idx="64">
                  <c:v>600957</c:v>
                </c:pt>
                <c:pt idx="65">
                  <c:v>602179</c:v>
                </c:pt>
                <c:pt idx="66">
                  <c:v>756715</c:v>
                </c:pt>
                <c:pt idx="67">
                  <c:v>624566</c:v>
                </c:pt>
                <c:pt idx="68">
                  <c:v>660185</c:v>
                </c:pt>
                <c:pt idx="69">
                  <c:v>681792</c:v>
                </c:pt>
                <c:pt idx="70">
                  <c:v>556227</c:v>
                </c:pt>
                <c:pt idx="71">
                  <c:v>824019</c:v>
                </c:pt>
                <c:pt idx="72">
                  <c:v>819208</c:v>
                </c:pt>
                <c:pt idx="73">
                  <c:v>644004</c:v>
                </c:pt>
                <c:pt idx="74">
                  <c:v>627398</c:v>
                </c:pt>
                <c:pt idx="75">
                  <c:v>641093</c:v>
                </c:pt>
                <c:pt idx="76">
                  <c:v>633721</c:v>
                </c:pt>
                <c:pt idx="77">
                  <c:v>607930</c:v>
                </c:pt>
                <c:pt idx="78">
                  <c:v>794537</c:v>
                </c:pt>
                <c:pt idx="79">
                  <c:v>653017</c:v>
                </c:pt>
                <c:pt idx="80">
                  <c:v>681369</c:v>
                </c:pt>
                <c:pt idx="81">
                  <c:v>720917</c:v>
                </c:pt>
                <c:pt idx="82">
                  <c:v>707056</c:v>
                </c:pt>
                <c:pt idx="83">
                  <c:v>842508</c:v>
                </c:pt>
                <c:pt idx="84">
                  <c:v>866996</c:v>
                </c:pt>
                <c:pt idx="85">
                  <c:v>665904</c:v>
                </c:pt>
                <c:pt idx="86">
                  <c:v>694671</c:v>
                </c:pt>
                <c:pt idx="87">
                  <c:v>656966</c:v>
                </c:pt>
                <c:pt idx="88">
                  <c:v>638423</c:v>
                </c:pt>
                <c:pt idx="89">
                  <c:v>642244</c:v>
                </c:pt>
                <c:pt idx="90">
                  <c:v>817680</c:v>
                </c:pt>
                <c:pt idx="91">
                  <c:v>680782</c:v>
                </c:pt>
                <c:pt idx="92">
                  <c:v>674080</c:v>
                </c:pt>
                <c:pt idx="93">
                  <c:v>754037</c:v>
                </c:pt>
                <c:pt idx="94">
                  <c:v>671007</c:v>
                </c:pt>
                <c:pt idx="95">
                  <c:v>856542</c:v>
                </c:pt>
                <c:pt idx="96">
                  <c:v>816935</c:v>
                </c:pt>
                <c:pt idx="97">
                  <c:v>660375</c:v>
                </c:pt>
                <c:pt idx="98">
                  <c:v>392160</c:v>
                </c:pt>
                <c:pt idx="99">
                  <c:v>66307</c:v>
                </c:pt>
                <c:pt idx="100">
                  <c:v>98864</c:v>
                </c:pt>
                <c:pt idx="101">
                  <c:v>131821</c:v>
                </c:pt>
                <c:pt idx="102">
                  <c:v>163393</c:v>
                </c:pt>
                <c:pt idx="103">
                  <c:v>221188</c:v>
                </c:pt>
                <c:pt idx="104">
                  <c:v>281788</c:v>
                </c:pt>
                <c:pt idx="105">
                  <c:v>368829</c:v>
                </c:pt>
                <c:pt idx="106">
                  <c:v>352359</c:v>
                </c:pt>
                <c:pt idx="107">
                  <c:v>436644</c:v>
                </c:pt>
                <c:pt idx="108">
                  <c:v>380839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99A-4F72-8B37-1E16D07B0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105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EmbDesemBUS!$Q$2</c:f>
              <c:strCache>
                <c:ptCount val="1"/>
                <c:pt idx="0">
                  <c:v>Movimentação Passageiros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EmbDesemBUS!$A$39:$A$111</c:f>
              <c:numCache>
                <c:formatCode>[$-416]mmm\-yy;@</c:formatCode>
                <c:ptCount val="73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</c:numCache>
            </c:numRef>
          </c:cat>
          <c:val>
            <c:numRef>
              <c:f>EmbDesemBUS!$Q$39:$Q$111</c:f>
              <c:numCache>
                <c:formatCode>#,##0</c:formatCode>
                <c:ptCount val="73"/>
                <c:pt idx="0">
                  <c:v>831245</c:v>
                </c:pt>
                <c:pt idx="1">
                  <c:v>681788</c:v>
                </c:pt>
                <c:pt idx="2">
                  <c:v>626654</c:v>
                </c:pt>
                <c:pt idx="3">
                  <c:v>722277</c:v>
                </c:pt>
                <c:pt idx="4">
                  <c:v>646591</c:v>
                </c:pt>
                <c:pt idx="5">
                  <c:v>653217</c:v>
                </c:pt>
                <c:pt idx="6">
                  <c:v>795403</c:v>
                </c:pt>
                <c:pt idx="7">
                  <c:v>675782</c:v>
                </c:pt>
                <c:pt idx="8">
                  <c:v>640207</c:v>
                </c:pt>
                <c:pt idx="9">
                  <c:v>708223</c:v>
                </c:pt>
                <c:pt idx="10">
                  <c:v>639262</c:v>
                </c:pt>
                <c:pt idx="11">
                  <c:v>815140</c:v>
                </c:pt>
                <c:pt idx="12">
                  <c:v>766240</c:v>
                </c:pt>
                <c:pt idx="13">
                  <c:v>640097</c:v>
                </c:pt>
                <c:pt idx="14">
                  <c:v>636268</c:v>
                </c:pt>
                <c:pt idx="15">
                  <c:v>591279</c:v>
                </c:pt>
                <c:pt idx="16">
                  <c:v>617523</c:v>
                </c:pt>
                <c:pt idx="17">
                  <c:v>527127</c:v>
                </c:pt>
                <c:pt idx="18">
                  <c:v>719688</c:v>
                </c:pt>
                <c:pt idx="19">
                  <c:v>605063</c:v>
                </c:pt>
                <c:pt idx="20">
                  <c:v>572676</c:v>
                </c:pt>
                <c:pt idx="21">
                  <c:v>622836</c:v>
                </c:pt>
                <c:pt idx="22">
                  <c:v>564209</c:v>
                </c:pt>
                <c:pt idx="23">
                  <c:v>743549</c:v>
                </c:pt>
                <c:pt idx="24">
                  <c:v>716509</c:v>
                </c:pt>
                <c:pt idx="25">
                  <c:v>531748</c:v>
                </c:pt>
                <c:pt idx="26">
                  <c:v>564324</c:v>
                </c:pt>
                <c:pt idx="27">
                  <c:v>656537</c:v>
                </c:pt>
                <c:pt idx="28">
                  <c:v>600957</c:v>
                </c:pt>
                <c:pt idx="29">
                  <c:v>602179</c:v>
                </c:pt>
                <c:pt idx="30">
                  <c:v>756715</c:v>
                </c:pt>
                <c:pt idx="31">
                  <c:v>624566</c:v>
                </c:pt>
                <c:pt idx="32">
                  <c:v>660185</c:v>
                </c:pt>
                <c:pt idx="33">
                  <c:v>681792</c:v>
                </c:pt>
                <c:pt idx="34">
                  <c:v>556227</c:v>
                </c:pt>
                <c:pt idx="35">
                  <c:v>824019</c:v>
                </c:pt>
                <c:pt idx="36">
                  <c:v>819208</c:v>
                </c:pt>
                <c:pt idx="37">
                  <c:v>644004</c:v>
                </c:pt>
                <c:pt idx="38">
                  <c:v>627398</c:v>
                </c:pt>
                <c:pt idx="39">
                  <c:v>641093</c:v>
                </c:pt>
                <c:pt idx="40">
                  <c:v>633721</c:v>
                </c:pt>
                <c:pt idx="41">
                  <c:v>607930</c:v>
                </c:pt>
                <c:pt idx="42">
                  <c:v>794537</c:v>
                </c:pt>
                <c:pt idx="43">
                  <c:v>653017</c:v>
                </c:pt>
                <c:pt idx="44">
                  <c:v>681369</c:v>
                </c:pt>
                <c:pt idx="45">
                  <c:v>720917</c:v>
                </c:pt>
                <c:pt idx="46">
                  <c:v>707056</c:v>
                </c:pt>
                <c:pt idx="47">
                  <c:v>842508</c:v>
                </c:pt>
                <c:pt idx="48">
                  <c:v>866996</c:v>
                </c:pt>
                <c:pt idx="49">
                  <c:v>665904</c:v>
                </c:pt>
                <c:pt idx="50">
                  <c:v>694671</c:v>
                </c:pt>
                <c:pt idx="51">
                  <c:v>656966</c:v>
                </c:pt>
                <c:pt idx="52">
                  <c:v>638423</c:v>
                </c:pt>
                <c:pt idx="53">
                  <c:v>642244</c:v>
                </c:pt>
                <c:pt idx="54">
                  <c:v>817680</c:v>
                </c:pt>
                <c:pt idx="55">
                  <c:v>680782</c:v>
                </c:pt>
                <c:pt idx="56">
                  <c:v>674080</c:v>
                </c:pt>
                <c:pt idx="57">
                  <c:v>754037</c:v>
                </c:pt>
                <c:pt idx="58">
                  <c:v>671007</c:v>
                </c:pt>
                <c:pt idx="59">
                  <c:v>856542</c:v>
                </c:pt>
                <c:pt idx="60">
                  <c:v>816935</c:v>
                </c:pt>
                <c:pt idx="61">
                  <c:v>660375</c:v>
                </c:pt>
                <c:pt idx="62">
                  <c:v>392160</c:v>
                </c:pt>
                <c:pt idx="63">
                  <c:v>66307</c:v>
                </c:pt>
                <c:pt idx="64">
                  <c:v>98864</c:v>
                </c:pt>
                <c:pt idx="65">
                  <c:v>131821</c:v>
                </c:pt>
                <c:pt idx="66">
                  <c:v>163393</c:v>
                </c:pt>
                <c:pt idx="67">
                  <c:v>221188</c:v>
                </c:pt>
                <c:pt idx="68">
                  <c:v>281788</c:v>
                </c:pt>
                <c:pt idx="69">
                  <c:v>368829</c:v>
                </c:pt>
                <c:pt idx="70">
                  <c:v>352359</c:v>
                </c:pt>
                <c:pt idx="71">
                  <c:v>436644</c:v>
                </c:pt>
                <c:pt idx="72">
                  <c:v>380839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78-4922-BCF7-501F78ED9F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9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EmbDesemBUS!$Q$2</c:f>
              <c:strCache>
                <c:ptCount val="1"/>
                <c:pt idx="0">
                  <c:v>Movimentação Passageiros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EmbDesemBUS!$A$39:$A$111</c:f>
              <c:numCache>
                <c:formatCode>[$-416]mmm\-yy;@</c:formatCode>
                <c:ptCount val="73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</c:numCache>
            </c:numRef>
          </c:cat>
          <c:val>
            <c:numRef>
              <c:f>EmbDesemBUS!$Q$39:$Q$111</c:f>
              <c:numCache>
                <c:formatCode>#,##0</c:formatCode>
                <c:ptCount val="73"/>
                <c:pt idx="0">
                  <c:v>831245</c:v>
                </c:pt>
                <c:pt idx="1">
                  <c:v>681788</c:v>
                </c:pt>
                <c:pt idx="2">
                  <c:v>626654</c:v>
                </c:pt>
                <c:pt idx="3">
                  <c:v>722277</c:v>
                </c:pt>
                <c:pt idx="4">
                  <c:v>646591</c:v>
                </c:pt>
                <c:pt idx="5">
                  <c:v>653217</c:v>
                </c:pt>
                <c:pt idx="6">
                  <c:v>795403</c:v>
                </c:pt>
                <c:pt idx="7">
                  <c:v>675782</c:v>
                </c:pt>
                <c:pt idx="8">
                  <c:v>640207</c:v>
                </c:pt>
                <c:pt idx="9">
                  <c:v>708223</c:v>
                </c:pt>
                <c:pt idx="10">
                  <c:v>639262</c:v>
                </c:pt>
                <c:pt idx="11">
                  <c:v>815140</c:v>
                </c:pt>
                <c:pt idx="12">
                  <c:v>766240</c:v>
                </c:pt>
                <c:pt idx="13">
                  <c:v>640097</c:v>
                </c:pt>
                <c:pt idx="14">
                  <c:v>636268</c:v>
                </c:pt>
                <c:pt idx="15">
                  <c:v>591279</c:v>
                </c:pt>
                <c:pt idx="16">
                  <c:v>617523</c:v>
                </c:pt>
                <c:pt idx="17">
                  <c:v>527127</c:v>
                </c:pt>
                <c:pt idx="18">
                  <c:v>719688</c:v>
                </c:pt>
                <c:pt idx="19">
                  <c:v>605063</c:v>
                </c:pt>
                <c:pt idx="20">
                  <c:v>572676</c:v>
                </c:pt>
                <c:pt idx="21">
                  <c:v>622836</c:v>
                </c:pt>
                <c:pt idx="22">
                  <c:v>564209</c:v>
                </c:pt>
                <c:pt idx="23">
                  <c:v>743549</c:v>
                </c:pt>
                <c:pt idx="24">
                  <c:v>716509</c:v>
                </c:pt>
                <c:pt idx="25">
                  <c:v>531748</c:v>
                </c:pt>
                <c:pt idx="26">
                  <c:v>564324</c:v>
                </c:pt>
                <c:pt idx="27">
                  <c:v>656537</c:v>
                </c:pt>
                <c:pt idx="28">
                  <c:v>600957</c:v>
                </c:pt>
                <c:pt idx="29">
                  <c:v>602179</c:v>
                </c:pt>
                <c:pt idx="30">
                  <c:v>756715</c:v>
                </c:pt>
                <c:pt idx="31">
                  <c:v>624566</c:v>
                </c:pt>
                <c:pt idx="32">
                  <c:v>660185</c:v>
                </c:pt>
                <c:pt idx="33">
                  <c:v>681792</c:v>
                </c:pt>
                <c:pt idx="34">
                  <c:v>556227</c:v>
                </c:pt>
                <c:pt idx="35">
                  <c:v>824019</c:v>
                </c:pt>
                <c:pt idx="36">
                  <c:v>819208</c:v>
                </c:pt>
                <c:pt idx="37">
                  <c:v>644004</c:v>
                </c:pt>
                <c:pt idx="38">
                  <c:v>627398</c:v>
                </c:pt>
                <c:pt idx="39">
                  <c:v>641093</c:v>
                </c:pt>
                <c:pt idx="40">
                  <c:v>633721</c:v>
                </c:pt>
                <c:pt idx="41">
                  <c:v>607930</c:v>
                </c:pt>
                <c:pt idx="42">
                  <c:v>794537</c:v>
                </c:pt>
                <c:pt idx="43">
                  <c:v>653017</c:v>
                </c:pt>
                <c:pt idx="44">
                  <c:v>681369</c:v>
                </c:pt>
                <c:pt idx="45">
                  <c:v>720917</c:v>
                </c:pt>
                <c:pt idx="46">
                  <c:v>707056</c:v>
                </c:pt>
                <c:pt idx="47">
                  <c:v>842508</c:v>
                </c:pt>
                <c:pt idx="48">
                  <c:v>866996</c:v>
                </c:pt>
                <c:pt idx="49">
                  <c:v>665904</c:v>
                </c:pt>
                <c:pt idx="50">
                  <c:v>694671</c:v>
                </c:pt>
                <c:pt idx="51">
                  <c:v>656966</c:v>
                </c:pt>
                <c:pt idx="52">
                  <c:v>638423</c:v>
                </c:pt>
                <c:pt idx="53">
                  <c:v>642244</c:v>
                </c:pt>
                <c:pt idx="54">
                  <c:v>817680</c:v>
                </c:pt>
                <c:pt idx="55">
                  <c:v>680782</c:v>
                </c:pt>
                <c:pt idx="56">
                  <c:v>674080</c:v>
                </c:pt>
                <c:pt idx="57">
                  <c:v>754037</c:v>
                </c:pt>
                <c:pt idx="58">
                  <c:v>671007</c:v>
                </c:pt>
                <c:pt idx="59">
                  <c:v>856542</c:v>
                </c:pt>
                <c:pt idx="60">
                  <c:v>816935</c:v>
                </c:pt>
                <c:pt idx="61">
                  <c:v>660375</c:v>
                </c:pt>
                <c:pt idx="62">
                  <c:v>392160</c:v>
                </c:pt>
                <c:pt idx="63">
                  <c:v>66307</c:v>
                </c:pt>
                <c:pt idx="64">
                  <c:v>98864</c:v>
                </c:pt>
                <c:pt idx="65">
                  <c:v>131821</c:v>
                </c:pt>
                <c:pt idx="66">
                  <c:v>163393</c:v>
                </c:pt>
                <c:pt idx="67">
                  <c:v>221188</c:v>
                </c:pt>
                <c:pt idx="68">
                  <c:v>281788</c:v>
                </c:pt>
                <c:pt idx="69">
                  <c:v>368829</c:v>
                </c:pt>
                <c:pt idx="70">
                  <c:v>352359</c:v>
                </c:pt>
                <c:pt idx="71">
                  <c:v>436644</c:v>
                </c:pt>
                <c:pt idx="72">
                  <c:v>380839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E4F-4A46-B141-F2E4BBC49CBB}"/>
            </c:ext>
          </c:extLst>
        </c:ser>
        <c:ser>
          <c:idx val="0"/>
          <c:order val="1"/>
          <c:tx>
            <c:strRef>
              <c:f>EmbDesemBUS!$N$2</c:f>
              <c:strCache>
                <c:ptCount val="1"/>
                <c:pt idx="0">
                  <c:v>Embarques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EmbDesemBUS!$N$39:$N$111</c:f>
              <c:numCache>
                <c:formatCode>#,##0</c:formatCode>
                <c:ptCount val="73"/>
                <c:pt idx="0">
                  <c:v>409335</c:v>
                </c:pt>
                <c:pt idx="1">
                  <c:v>350794</c:v>
                </c:pt>
                <c:pt idx="2">
                  <c:v>322177</c:v>
                </c:pt>
                <c:pt idx="3">
                  <c:v>375694</c:v>
                </c:pt>
                <c:pt idx="4">
                  <c:v>337856</c:v>
                </c:pt>
                <c:pt idx="5">
                  <c:v>341910</c:v>
                </c:pt>
                <c:pt idx="6">
                  <c:v>411140</c:v>
                </c:pt>
                <c:pt idx="7">
                  <c:v>340225</c:v>
                </c:pt>
                <c:pt idx="8">
                  <c:v>329138</c:v>
                </c:pt>
                <c:pt idx="9">
                  <c:v>367811</c:v>
                </c:pt>
                <c:pt idx="10">
                  <c:v>336667</c:v>
                </c:pt>
                <c:pt idx="11">
                  <c:v>437250</c:v>
                </c:pt>
                <c:pt idx="12">
                  <c:v>380513</c:v>
                </c:pt>
                <c:pt idx="13">
                  <c:v>328735</c:v>
                </c:pt>
                <c:pt idx="14">
                  <c:v>329375</c:v>
                </c:pt>
                <c:pt idx="15">
                  <c:v>309593</c:v>
                </c:pt>
                <c:pt idx="16">
                  <c:v>323151</c:v>
                </c:pt>
                <c:pt idx="17">
                  <c:v>274175</c:v>
                </c:pt>
                <c:pt idx="18">
                  <c:v>378066</c:v>
                </c:pt>
                <c:pt idx="19">
                  <c:v>308543</c:v>
                </c:pt>
                <c:pt idx="20">
                  <c:v>300727</c:v>
                </c:pt>
                <c:pt idx="21">
                  <c:v>322650</c:v>
                </c:pt>
                <c:pt idx="22">
                  <c:v>293906</c:v>
                </c:pt>
                <c:pt idx="23">
                  <c:v>403759</c:v>
                </c:pt>
                <c:pt idx="24">
                  <c:v>356623</c:v>
                </c:pt>
                <c:pt idx="25">
                  <c:v>285277</c:v>
                </c:pt>
                <c:pt idx="26">
                  <c:v>286522</c:v>
                </c:pt>
                <c:pt idx="27">
                  <c:v>343488</c:v>
                </c:pt>
                <c:pt idx="28">
                  <c:v>311479</c:v>
                </c:pt>
                <c:pt idx="29">
                  <c:v>315734</c:v>
                </c:pt>
                <c:pt idx="30">
                  <c:v>383014</c:v>
                </c:pt>
                <c:pt idx="31">
                  <c:v>306193</c:v>
                </c:pt>
                <c:pt idx="32">
                  <c:v>332205</c:v>
                </c:pt>
                <c:pt idx="33">
                  <c:v>352423</c:v>
                </c:pt>
                <c:pt idx="34">
                  <c:v>307568</c:v>
                </c:pt>
                <c:pt idx="35">
                  <c:v>447825</c:v>
                </c:pt>
                <c:pt idx="36">
                  <c:v>404742</c:v>
                </c:pt>
                <c:pt idx="37">
                  <c:v>326680</c:v>
                </c:pt>
                <c:pt idx="38">
                  <c:v>335033</c:v>
                </c:pt>
                <c:pt idx="39">
                  <c:v>324865</c:v>
                </c:pt>
                <c:pt idx="40">
                  <c:v>329286</c:v>
                </c:pt>
                <c:pt idx="41">
                  <c:v>311013</c:v>
                </c:pt>
                <c:pt idx="42">
                  <c:v>410791</c:v>
                </c:pt>
                <c:pt idx="43">
                  <c:v>332367</c:v>
                </c:pt>
                <c:pt idx="44">
                  <c:v>351410</c:v>
                </c:pt>
                <c:pt idx="45">
                  <c:v>370971</c:v>
                </c:pt>
                <c:pt idx="46">
                  <c:v>389519</c:v>
                </c:pt>
                <c:pt idx="47">
                  <c:v>450738</c:v>
                </c:pt>
                <c:pt idx="48">
                  <c:v>428711</c:v>
                </c:pt>
                <c:pt idx="49">
                  <c:v>339747</c:v>
                </c:pt>
                <c:pt idx="50">
                  <c:v>353052</c:v>
                </c:pt>
                <c:pt idx="51">
                  <c:v>335437</c:v>
                </c:pt>
                <c:pt idx="52">
                  <c:v>331305</c:v>
                </c:pt>
                <c:pt idx="53">
                  <c:v>336256</c:v>
                </c:pt>
                <c:pt idx="54">
                  <c:v>433771</c:v>
                </c:pt>
                <c:pt idx="55">
                  <c:v>349899</c:v>
                </c:pt>
                <c:pt idx="56">
                  <c:v>354901</c:v>
                </c:pt>
                <c:pt idx="57">
                  <c:v>401377</c:v>
                </c:pt>
                <c:pt idx="58">
                  <c:v>339980</c:v>
                </c:pt>
                <c:pt idx="59">
                  <c:v>458240</c:v>
                </c:pt>
                <c:pt idx="60">
                  <c:v>391197</c:v>
                </c:pt>
                <c:pt idx="61">
                  <c:v>332598</c:v>
                </c:pt>
                <c:pt idx="62">
                  <c:v>196725</c:v>
                </c:pt>
                <c:pt idx="63">
                  <c:v>35511</c:v>
                </c:pt>
                <c:pt idx="64">
                  <c:v>52611</c:v>
                </c:pt>
                <c:pt idx="65">
                  <c:v>70764</c:v>
                </c:pt>
                <c:pt idx="66">
                  <c:v>82416</c:v>
                </c:pt>
                <c:pt idx="67">
                  <c:v>109095</c:v>
                </c:pt>
                <c:pt idx="68">
                  <c:v>140527</c:v>
                </c:pt>
                <c:pt idx="69">
                  <c:v>189732</c:v>
                </c:pt>
                <c:pt idx="70">
                  <c:v>174852</c:v>
                </c:pt>
                <c:pt idx="71">
                  <c:v>229286</c:v>
                </c:pt>
                <c:pt idx="72">
                  <c:v>182385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E4F-4A46-B141-F2E4BBC49CBB}"/>
            </c:ext>
          </c:extLst>
        </c:ser>
        <c:ser>
          <c:idx val="1"/>
          <c:order val="2"/>
          <c:tx>
            <c:strRef>
              <c:f>EmbDesemBUS!$P$2</c:f>
              <c:strCache>
                <c:ptCount val="1"/>
                <c:pt idx="0">
                  <c:v>Desembarques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EmbDesemBUS!$P$39:$P$111</c:f>
              <c:numCache>
                <c:formatCode>#,##0</c:formatCode>
                <c:ptCount val="73"/>
                <c:pt idx="0">
                  <c:v>421910</c:v>
                </c:pt>
                <c:pt idx="1">
                  <c:v>330994</c:v>
                </c:pt>
                <c:pt idx="2">
                  <c:v>304477</c:v>
                </c:pt>
                <c:pt idx="3">
                  <c:v>346583</c:v>
                </c:pt>
                <c:pt idx="4">
                  <c:v>308735</c:v>
                </c:pt>
                <c:pt idx="5">
                  <c:v>311307</c:v>
                </c:pt>
                <c:pt idx="6">
                  <c:v>384263</c:v>
                </c:pt>
                <c:pt idx="7">
                  <c:v>335557</c:v>
                </c:pt>
                <c:pt idx="8">
                  <c:v>311069</c:v>
                </c:pt>
                <c:pt idx="9">
                  <c:v>340412</c:v>
                </c:pt>
                <c:pt idx="10">
                  <c:v>302595</c:v>
                </c:pt>
                <c:pt idx="11">
                  <c:v>377890</c:v>
                </c:pt>
                <c:pt idx="12">
                  <c:v>385727</c:v>
                </c:pt>
                <c:pt idx="13">
                  <c:v>311362</c:v>
                </c:pt>
                <c:pt idx="14">
                  <c:v>306893</c:v>
                </c:pt>
                <c:pt idx="15">
                  <c:v>281686</c:v>
                </c:pt>
                <c:pt idx="16">
                  <c:v>294372</c:v>
                </c:pt>
                <c:pt idx="17">
                  <c:v>252952</c:v>
                </c:pt>
                <c:pt idx="18">
                  <c:v>341622</c:v>
                </c:pt>
                <c:pt idx="19">
                  <c:v>296520</c:v>
                </c:pt>
                <c:pt idx="20">
                  <c:v>271949</c:v>
                </c:pt>
                <c:pt idx="21">
                  <c:v>300186</c:v>
                </c:pt>
                <c:pt idx="22">
                  <c:v>270303</c:v>
                </c:pt>
                <c:pt idx="23">
                  <c:v>339790</c:v>
                </c:pt>
                <c:pt idx="24">
                  <c:v>359886</c:v>
                </c:pt>
                <c:pt idx="25">
                  <c:v>246471</c:v>
                </c:pt>
                <c:pt idx="26">
                  <c:v>277802</c:v>
                </c:pt>
                <c:pt idx="27">
                  <c:v>313049</c:v>
                </c:pt>
                <c:pt idx="28">
                  <c:v>289478</c:v>
                </c:pt>
                <c:pt idx="29">
                  <c:v>286445</c:v>
                </c:pt>
                <c:pt idx="30">
                  <c:v>373701</c:v>
                </c:pt>
                <c:pt idx="31">
                  <c:v>318373</c:v>
                </c:pt>
                <c:pt idx="32">
                  <c:v>327980</c:v>
                </c:pt>
                <c:pt idx="33">
                  <c:v>329369</c:v>
                </c:pt>
                <c:pt idx="34">
                  <c:v>248659</c:v>
                </c:pt>
                <c:pt idx="35">
                  <c:v>376194</c:v>
                </c:pt>
                <c:pt idx="36">
                  <c:v>414466</c:v>
                </c:pt>
                <c:pt idx="37">
                  <c:v>317324</c:v>
                </c:pt>
                <c:pt idx="38">
                  <c:v>292365</c:v>
                </c:pt>
                <c:pt idx="39">
                  <c:v>316228</c:v>
                </c:pt>
                <c:pt idx="40">
                  <c:v>304435</c:v>
                </c:pt>
                <c:pt idx="41">
                  <c:v>296917</c:v>
                </c:pt>
                <c:pt idx="42">
                  <c:v>383746</c:v>
                </c:pt>
                <c:pt idx="43">
                  <c:v>320650</c:v>
                </c:pt>
                <c:pt idx="44">
                  <c:v>329959</c:v>
                </c:pt>
                <c:pt idx="45">
                  <c:v>349946</c:v>
                </c:pt>
                <c:pt idx="46">
                  <c:v>317537</c:v>
                </c:pt>
                <c:pt idx="47">
                  <c:v>391770</c:v>
                </c:pt>
                <c:pt idx="48">
                  <c:v>438285</c:v>
                </c:pt>
                <c:pt idx="49">
                  <c:v>326157</c:v>
                </c:pt>
                <c:pt idx="50">
                  <c:v>341619</c:v>
                </c:pt>
                <c:pt idx="51">
                  <c:v>321529</c:v>
                </c:pt>
                <c:pt idx="52">
                  <c:v>307118</c:v>
                </c:pt>
                <c:pt idx="53">
                  <c:v>305988</c:v>
                </c:pt>
                <c:pt idx="54">
                  <c:v>383909</c:v>
                </c:pt>
                <c:pt idx="55">
                  <c:v>330883</c:v>
                </c:pt>
                <c:pt idx="56">
                  <c:v>319179</c:v>
                </c:pt>
                <c:pt idx="57">
                  <c:v>352660</c:v>
                </c:pt>
                <c:pt idx="58">
                  <c:v>331027</c:v>
                </c:pt>
                <c:pt idx="59">
                  <c:v>398302</c:v>
                </c:pt>
                <c:pt idx="60">
                  <c:v>425738</c:v>
                </c:pt>
                <c:pt idx="61">
                  <c:v>327777</c:v>
                </c:pt>
                <c:pt idx="62">
                  <c:v>195435</c:v>
                </c:pt>
                <c:pt idx="63">
                  <c:v>30796</c:v>
                </c:pt>
                <c:pt idx="64">
                  <c:v>46253</c:v>
                </c:pt>
                <c:pt idx="65">
                  <c:v>61057</c:v>
                </c:pt>
                <c:pt idx="66">
                  <c:v>80977</c:v>
                </c:pt>
                <c:pt idx="67">
                  <c:v>112093</c:v>
                </c:pt>
                <c:pt idx="68">
                  <c:v>141261</c:v>
                </c:pt>
                <c:pt idx="69">
                  <c:v>179097</c:v>
                </c:pt>
                <c:pt idx="70">
                  <c:v>177507</c:v>
                </c:pt>
                <c:pt idx="71">
                  <c:v>207358</c:v>
                </c:pt>
                <c:pt idx="72">
                  <c:v>198454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6E4F-4A46-B141-F2E4BBC49C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9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50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8"/>
          <c:order val="0"/>
          <c:tx>
            <c:strRef>
              <c:f>EmbDesemBUS!$R$2</c:f>
              <c:strCache>
                <c:ptCount val="1"/>
                <c:pt idx="0">
                  <c:v>Movimentação Ônibus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EmbDesemBUS!$A$39:$A$111</c:f>
              <c:numCache>
                <c:formatCode>[$-416]mmm\-yy;@</c:formatCode>
                <c:ptCount val="73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</c:numCache>
            </c:numRef>
          </c:cat>
          <c:val>
            <c:numRef>
              <c:f>EmbDesemBUS!$R$39:$R$111</c:f>
              <c:numCache>
                <c:formatCode>#,##0</c:formatCode>
                <c:ptCount val="73"/>
                <c:pt idx="0">
                  <c:v>42149</c:v>
                </c:pt>
                <c:pt idx="1">
                  <c:v>37822</c:v>
                </c:pt>
                <c:pt idx="2">
                  <c:v>39966</c:v>
                </c:pt>
                <c:pt idx="3">
                  <c:v>40508</c:v>
                </c:pt>
                <c:pt idx="4">
                  <c:v>39976</c:v>
                </c:pt>
                <c:pt idx="5">
                  <c:v>39862</c:v>
                </c:pt>
                <c:pt idx="6">
                  <c:v>40431</c:v>
                </c:pt>
                <c:pt idx="7">
                  <c:v>39534</c:v>
                </c:pt>
                <c:pt idx="8">
                  <c:v>37799</c:v>
                </c:pt>
                <c:pt idx="9">
                  <c:v>39098</c:v>
                </c:pt>
                <c:pt idx="10">
                  <c:v>37128</c:v>
                </c:pt>
                <c:pt idx="11">
                  <c:v>40599</c:v>
                </c:pt>
                <c:pt idx="12">
                  <c:v>39689</c:v>
                </c:pt>
                <c:pt idx="13">
                  <c:v>36735</c:v>
                </c:pt>
                <c:pt idx="14">
                  <c:v>38678</c:v>
                </c:pt>
                <c:pt idx="15">
                  <c:v>36816</c:v>
                </c:pt>
                <c:pt idx="16">
                  <c:v>38276</c:v>
                </c:pt>
                <c:pt idx="17">
                  <c:v>36508</c:v>
                </c:pt>
                <c:pt idx="18">
                  <c:v>38640</c:v>
                </c:pt>
                <c:pt idx="19">
                  <c:v>38102</c:v>
                </c:pt>
                <c:pt idx="20">
                  <c:v>36515</c:v>
                </c:pt>
                <c:pt idx="21">
                  <c:v>37828</c:v>
                </c:pt>
                <c:pt idx="22">
                  <c:v>36316</c:v>
                </c:pt>
                <c:pt idx="23">
                  <c:v>39272</c:v>
                </c:pt>
                <c:pt idx="24">
                  <c:v>39088</c:v>
                </c:pt>
                <c:pt idx="25">
                  <c:v>33938</c:v>
                </c:pt>
                <c:pt idx="26">
                  <c:v>37432</c:v>
                </c:pt>
                <c:pt idx="27">
                  <c:v>38429</c:v>
                </c:pt>
                <c:pt idx="28">
                  <c:v>38666</c:v>
                </c:pt>
                <c:pt idx="29">
                  <c:v>37868</c:v>
                </c:pt>
                <c:pt idx="30">
                  <c:v>40537</c:v>
                </c:pt>
                <c:pt idx="31">
                  <c:v>39540</c:v>
                </c:pt>
                <c:pt idx="32">
                  <c:v>38819</c:v>
                </c:pt>
                <c:pt idx="33">
                  <c:v>39252</c:v>
                </c:pt>
                <c:pt idx="34">
                  <c:v>36976</c:v>
                </c:pt>
                <c:pt idx="35">
                  <c:v>40815</c:v>
                </c:pt>
                <c:pt idx="36">
                  <c:v>41014</c:v>
                </c:pt>
                <c:pt idx="37">
                  <c:v>35836</c:v>
                </c:pt>
                <c:pt idx="38">
                  <c:v>38134</c:v>
                </c:pt>
                <c:pt idx="39">
                  <c:v>37293</c:v>
                </c:pt>
                <c:pt idx="40">
                  <c:v>36649</c:v>
                </c:pt>
                <c:pt idx="41">
                  <c:v>36154</c:v>
                </c:pt>
                <c:pt idx="42">
                  <c:v>38757</c:v>
                </c:pt>
                <c:pt idx="43">
                  <c:v>37739</c:v>
                </c:pt>
                <c:pt idx="44">
                  <c:v>37178</c:v>
                </c:pt>
                <c:pt idx="45">
                  <c:v>38692</c:v>
                </c:pt>
                <c:pt idx="46">
                  <c:v>37251</c:v>
                </c:pt>
                <c:pt idx="47">
                  <c:v>39579</c:v>
                </c:pt>
                <c:pt idx="48">
                  <c:v>39678</c:v>
                </c:pt>
                <c:pt idx="49">
                  <c:v>34496</c:v>
                </c:pt>
                <c:pt idx="50">
                  <c:v>38931</c:v>
                </c:pt>
                <c:pt idx="51">
                  <c:v>37349</c:v>
                </c:pt>
                <c:pt idx="52">
                  <c:v>37600</c:v>
                </c:pt>
                <c:pt idx="53">
                  <c:v>36667</c:v>
                </c:pt>
                <c:pt idx="54">
                  <c:v>39283</c:v>
                </c:pt>
                <c:pt idx="55">
                  <c:v>38331</c:v>
                </c:pt>
                <c:pt idx="56">
                  <c:v>37281</c:v>
                </c:pt>
                <c:pt idx="57">
                  <c:v>38916</c:v>
                </c:pt>
                <c:pt idx="58">
                  <c:v>37580</c:v>
                </c:pt>
                <c:pt idx="59">
                  <c:v>41035</c:v>
                </c:pt>
                <c:pt idx="60">
                  <c:v>41070</c:v>
                </c:pt>
                <c:pt idx="61">
                  <c:v>36721</c:v>
                </c:pt>
                <c:pt idx="62">
                  <c:v>27691</c:v>
                </c:pt>
                <c:pt idx="63">
                  <c:v>6859</c:v>
                </c:pt>
                <c:pt idx="64">
                  <c:v>8414</c:v>
                </c:pt>
                <c:pt idx="65">
                  <c:v>10051</c:v>
                </c:pt>
                <c:pt idx="66">
                  <c:v>12598</c:v>
                </c:pt>
                <c:pt idx="67">
                  <c:v>15262</c:v>
                </c:pt>
                <c:pt idx="68">
                  <c:v>17417</c:v>
                </c:pt>
                <c:pt idx="69">
                  <c:v>21299</c:v>
                </c:pt>
                <c:pt idx="70">
                  <c:v>20867</c:v>
                </c:pt>
                <c:pt idx="71">
                  <c:v>24535</c:v>
                </c:pt>
                <c:pt idx="72">
                  <c:v>23259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E5D-4E03-908E-11A95943F573}"/>
            </c:ext>
          </c:extLst>
        </c:ser>
        <c:ser>
          <c:idx val="0"/>
          <c:order val="1"/>
          <c:tx>
            <c:strRef>
              <c:f>EmbDesemBUS!$M$2</c:f>
              <c:strCache>
                <c:ptCount val="1"/>
                <c:pt idx="0">
                  <c:v>Partidas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EmbDesemBUS!$M$39:$M$111</c:f>
              <c:numCache>
                <c:formatCode>#,##0</c:formatCode>
                <c:ptCount val="73"/>
                <c:pt idx="0">
                  <c:v>21010</c:v>
                </c:pt>
                <c:pt idx="1">
                  <c:v>19061</c:v>
                </c:pt>
                <c:pt idx="2">
                  <c:v>20167</c:v>
                </c:pt>
                <c:pt idx="3">
                  <c:v>20602</c:v>
                </c:pt>
                <c:pt idx="4">
                  <c:v>20371</c:v>
                </c:pt>
                <c:pt idx="5">
                  <c:v>20296</c:v>
                </c:pt>
                <c:pt idx="6">
                  <c:v>20199</c:v>
                </c:pt>
                <c:pt idx="7">
                  <c:v>19680</c:v>
                </c:pt>
                <c:pt idx="8">
                  <c:v>18830</c:v>
                </c:pt>
                <c:pt idx="9">
                  <c:v>19658</c:v>
                </c:pt>
                <c:pt idx="10">
                  <c:v>18711</c:v>
                </c:pt>
                <c:pt idx="11">
                  <c:v>20680</c:v>
                </c:pt>
                <c:pt idx="12">
                  <c:v>19877</c:v>
                </c:pt>
                <c:pt idx="13">
                  <c:v>18555</c:v>
                </c:pt>
                <c:pt idx="14">
                  <c:v>19553</c:v>
                </c:pt>
                <c:pt idx="15">
                  <c:v>18778</c:v>
                </c:pt>
                <c:pt idx="16">
                  <c:v>19290</c:v>
                </c:pt>
                <c:pt idx="17">
                  <c:v>18385</c:v>
                </c:pt>
                <c:pt idx="18">
                  <c:v>19480</c:v>
                </c:pt>
                <c:pt idx="19">
                  <c:v>19174</c:v>
                </c:pt>
                <c:pt idx="20">
                  <c:v>18431</c:v>
                </c:pt>
                <c:pt idx="21">
                  <c:v>19079</c:v>
                </c:pt>
                <c:pt idx="22">
                  <c:v>18418</c:v>
                </c:pt>
                <c:pt idx="23">
                  <c:v>20085</c:v>
                </c:pt>
                <c:pt idx="24">
                  <c:v>19401</c:v>
                </c:pt>
                <c:pt idx="25">
                  <c:v>17346</c:v>
                </c:pt>
                <c:pt idx="26">
                  <c:v>18844</c:v>
                </c:pt>
                <c:pt idx="27">
                  <c:v>19322</c:v>
                </c:pt>
                <c:pt idx="28">
                  <c:v>19515</c:v>
                </c:pt>
                <c:pt idx="29">
                  <c:v>19103</c:v>
                </c:pt>
                <c:pt idx="30">
                  <c:v>19720</c:v>
                </c:pt>
                <c:pt idx="31">
                  <c:v>19176</c:v>
                </c:pt>
                <c:pt idx="32">
                  <c:v>18986</c:v>
                </c:pt>
                <c:pt idx="33">
                  <c:v>19688</c:v>
                </c:pt>
                <c:pt idx="34">
                  <c:v>18672</c:v>
                </c:pt>
                <c:pt idx="35">
                  <c:v>20907</c:v>
                </c:pt>
                <c:pt idx="36">
                  <c:v>20495</c:v>
                </c:pt>
                <c:pt idx="37">
                  <c:v>17948</c:v>
                </c:pt>
                <c:pt idx="38">
                  <c:v>19317</c:v>
                </c:pt>
                <c:pt idx="39">
                  <c:v>18646</c:v>
                </c:pt>
                <c:pt idx="40">
                  <c:v>18426</c:v>
                </c:pt>
                <c:pt idx="41">
                  <c:v>18161</c:v>
                </c:pt>
                <c:pt idx="42">
                  <c:v>19397</c:v>
                </c:pt>
                <c:pt idx="43">
                  <c:v>18933</c:v>
                </c:pt>
                <c:pt idx="44">
                  <c:v>18625</c:v>
                </c:pt>
                <c:pt idx="45">
                  <c:v>19372</c:v>
                </c:pt>
                <c:pt idx="46">
                  <c:v>18984</c:v>
                </c:pt>
                <c:pt idx="47">
                  <c:v>20070</c:v>
                </c:pt>
                <c:pt idx="48">
                  <c:v>19756</c:v>
                </c:pt>
                <c:pt idx="49">
                  <c:v>17332</c:v>
                </c:pt>
                <c:pt idx="50">
                  <c:v>19614</c:v>
                </c:pt>
                <c:pt idx="51">
                  <c:v>18745</c:v>
                </c:pt>
                <c:pt idx="52">
                  <c:v>18868</c:v>
                </c:pt>
                <c:pt idx="53">
                  <c:v>18420</c:v>
                </c:pt>
                <c:pt idx="54">
                  <c:v>19872</c:v>
                </c:pt>
                <c:pt idx="55">
                  <c:v>19264</c:v>
                </c:pt>
                <c:pt idx="56">
                  <c:v>18679</c:v>
                </c:pt>
                <c:pt idx="57">
                  <c:v>19554</c:v>
                </c:pt>
                <c:pt idx="58">
                  <c:v>18859</c:v>
                </c:pt>
                <c:pt idx="59">
                  <c:v>20860</c:v>
                </c:pt>
                <c:pt idx="60">
                  <c:v>20435</c:v>
                </c:pt>
                <c:pt idx="61">
                  <c:v>18368</c:v>
                </c:pt>
                <c:pt idx="62">
                  <c:v>13947</c:v>
                </c:pt>
                <c:pt idx="63">
                  <c:v>3616</c:v>
                </c:pt>
                <c:pt idx="64">
                  <c:v>4486</c:v>
                </c:pt>
                <c:pt idx="65">
                  <c:v>5344</c:v>
                </c:pt>
                <c:pt idx="66">
                  <c:v>6306</c:v>
                </c:pt>
                <c:pt idx="67">
                  <c:v>7571</c:v>
                </c:pt>
                <c:pt idx="68">
                  <c:v>8615</c:v>
                </c:pt>
                <c:pt idx="69">
                  <c:v>10752</c:v>
                </c:pt>
                <c:pt idx="70">
                  <c:v>10349</c:v>
                </c:pt>
                <c:pt idx="71">
                  <c:v>12456</c:v>
                </c:pt>
                <c:pt idx="72">
                  <c:v>11550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E5D-4E03-908E-11A95943F573}"/>
            </c:ext>
          </c:extLst>
        </c:ser>
        <c:ser>
          <c:idx val="1"/>
          <c:order val="2"/>
          <c:tx>
            <c:strRef>
              <c:f>EmbDesemBUS!$O$2</c:f>
              <c:strCache>
                <c:ptCount val="1"/>
                <c:pt idx="0">
                  <c:v>Chegadas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EmbDesemBUS!$O$39:$O$111</c:f>
              <c:numCache>
                <c:formatCode>#,##0</c:formatCode>
                <c:ptCount val="73"/>
                <c:pt idx="0">
                  <c:v>21139</c:v>
                </c:pt>
                <c:pt idx="1">
                  <c:v>18761</c:v>
                </c:pt>
                <c:pt idx="2">
                  <c:v>19799</c:v>
                </c:pt>
                <c:pt idx="3">
                  <c:v>19906</c:v>
                </c:pt>
                <c:pt idx="4">
                  <c:v>19605</c:v>
                </c:pt>
                <c:pt idx="5">
                  <c:v>19566</c:v>
                </c:pt>
                <c:pt idx="6">
                  <c:v>20232</c:v>
                </c:pt>
                <c:pt idx="7">
                  <c:v>19854</c:v>
                </c:pt>
                <c:pt idx="8">
                  <c:v>18969</c:v>
                </c:pt>
                <c:pt idx="9">
                  <c:v>19440</c:v>
                </c:pt>
                <c:pt idx="10">
                  <c:v>18417</c:v>
                </c:pt>
                <c:pt idx="11">
                  <c:v>19919</c:v>
                </c:pt>
                <c:pt idx="12">
                  <c:v>19812</c:v>
                </c:pt>
                <c:pt idx="13">
                  <c:v>18180</c:v>
                </c:pt>
                <c:pt idx="14">
                  <c:v>19125</c:v>
                </c:pt>
                <c:pt idx="15">
                  <c:v>18038</c:v>
                </c:pt>
                <c:pt idx="16">
                  <c:v>18986</c:v>
                </c:pt>
                <c:pt idx="17">
                  <c:v>18123</c:v>
                </c:pt>
                <c:pt idx="18">
                  <c:v>19160</c:v>
                </c:pt>
                <c:pt idx="19">
                  <c:v>18928</c:v>
                </c:pt>
                <c:pt idx="20">
                  <c:v>18084</c:v>
                </c:pt>
                <c:pt idx="21">
                  <c:v>18749</c:v>
                </c:pt>
                <c:pt idx="22">
                  <c:v>17898</c:v>
                </c:pt>
                <c:pt idx="23">
                  <c:v>19187</c:v>
                </c:pt>
                <c:pt idx="24">
                  <c:v>19687</c:v>
                </c:pt>
                <c:pt idx="25">
                  <c:v>16592</c:v>
                </c:pt>
                <c:pt idx="26">
                  <c:v>18588</c:v>
                </c:pt>
                <c:pt idx="27">
                  <c:v>19107</c:v>
                </c:pt>
                <c:pt idx="28">
                  <c:v>19151</c:v>
                </c:pt>
                <c:pt idx="29">
                  <c:v>18765</c:v>
                </c:pt>
                <c:pt idx="30">
                  <c:v>20817</c:v>
                </c:pt>
                <c:pt idx="31">
                  <c:v>20364</c:v>
                </c:pt>
                <c:pt idx="32">
                  <c:v>19833</c:v>
                </c:pt>
                <c:pt idx="33">
                  <c:v>19564</c:v>
                </c:pt>
                <c:pt idx="34">
                  <c:v>18304</c:v>
                </c:pt>
                <c:pt idx="35">
                  <c:v>19908</c:v>
                </c:pt>
                <c:pt idx="36">
                  <c:v>20519</c:v>
                </c:pt>
                <c:pt idx="37">
                  <c:v>17888</c:v>
                </c:pt>
                <c:pt idx="38">
                  <c:v>18817</c:v>
                </c:pt>
                <c:pt idx="39">
                  <c:v>18647</c:v>
                </c:pt>
                <c:pt idx="40">
                  <c:v>18223</c:v>
                </c:pt>
                <c:pt idx="41">
                  <c:v>17993</c:v>
                </c:pt>
                <c:pt idx="42">
                  <c:v>19360</c:v>
                </c:pt>
                <c:pt idx="43">
                  <c:v>18806</c:v>
                </c:pt>
                <c:pt idx="44">
                  <c:v>18553</c:v>
                </c:pt>
                <c:pt idx="45">
                  <c:v>19320</c:v>
                </c:pt>
                <c:pt idx="46">
                  <c:v>18267</c:v>
                </c:pt>
                <c:pt idx="47">
                  <c:v>19509</c:v>
                </c:pt>
                <c:pt idx="48">
                  <c:v>19922</c:v>
                </c:pt>
                <c:pt idx="49">
                  <c:v>17164</c:v>
                </c:pt>
                <c:pt idx="50">
                  <c:v>19317</c:v>
                </c:pt>
                <c:pt idx="51">
                  <c:v>18604</c:v>
                </c:pt>
                <c:pt idx="52">
                  <c:v>18732</c:v>
                </c:pt>
                <c:pt idx="53">
                  <c:v>18247</c:v>
                </c:pt>
                <c:pt idx="54">
                  <c:v>19411</c:v>
                </c:pt>
                <c:pt idx="55">
                  <c:v>19067</c:v>
                </c:pt>
                <c:pt idx="56">
                  <c:v>18602</c:v>
                </c:pt>
                <c:pt idx="57">
                  <c:v>19362</c:v>
                </c:pt>
                <c:pt idx="58">
                  <c:v>18721</c:v>
                </c:pt>
                <c:pt idx="59">
                  <c:v>20175</c:v>
                </c:pt>
                <c:pt idx="60">
                  <c:v>20635</c:v>
                </c:pt>
                <c:pt idx="61">
                  <c:v>18353</c:v>
                </c:pt>
                <c:pt idx="62">
                  <c:v>13744</c:v>
                </c:pt>
                <c:pt idx="63">
                  <c:v>3243</c:v>
                </c:pt>
                <c:pt idx="64">
                  <c:v>3928</c:v>
                </c:pt>
                <c:pt idx="65">
                  <c:v>4707</c:v>
                </c:pt>
                <c:pt idx="66">
                  <c:v>6292</c:v>
                </c:pt>
                <c:pt idx="67">
                  <c:v>7691</c:v>
                </c:pt>
                <c:pt idx="68">
                  <c:v>8802</c:v>
                </c:pt>
                <c:pt idx="69">
                  <c:v>10547</c:v>
                </c:pt>
                <c:pt idx="70">
                  <c:v>10518</c:v>
                </c:pt>
                <c:pt idx="71">
                  <c:v>12079</c:v>
                </c:pt>
                <c:pt idx="72">
                  <c:v>11709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1E5D-4E03-908E-11A95943F5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493471"/>
        <c:axId val="515493055"/>
      </c:lineChart>
      <c:dateAx>
        <c:axId val="515493471"/>
        <c:scaling>
          <c:orientation val="minMax"/>
        </c:scaling>
        <c:delete val="0"/>
        <c:axPos val="b"/>
        <c:numFmt formatCode="[$-416]mmm\-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055"/>
        <c:crosses val="autoZero"/>
        <c:auto val="1"/>
        <c:lblOffset val="100"/>
        <c:baseTimeUnit val="months"/>
      </c:dateAx>
      <c:valAx>
        <c:axId val="515493055"/>
        <c:scaling>
          <c:orientation val="minMax"/>
          <c:max val="44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15493471"/>
        <c:crosses val="autoZero"/>
        <c:crossBetween val="between"/>
        <c:majorUnit val="2000"/>
        <c:minorUnit val="1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'Tabela 19 e Gráfico 6'!$C$4</c:f>
              <c:strCache>
                <c:ptCount val="1"/>
                <c:pt idx="0">
                  <c:v>Realizado</c:v>
                </c:pt>
              </c:strCache>
            </c:strRef>
          </c:tx>
          <c:spPr>
            <a:ln w="3810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'Tabela 19 e Gráfico 6'!$B$5:$B$44</c:f>
              <c:numCache>
                <c:formatCode>0</c:formatCode>
                <c:ptCount val="4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  <c:pt idx="25">
                  <c:v>2037</c:v>
                </c:pt>
                <c:pt idx="26">
                  <c:v>2038</c:v>
                </c:pt>
                <c:pt idx="27">
                  <c:v>2039</c:v>
                </c:pt>
                <c:pt idx="28">
                  <c:v>2040</c:v>
                </c:pt>
                <c:pt idx="29">
                  <c:v>2041</c:v>
                </c:pt>
                <c:pt idx="30">
                  <c:v>2042</c:v>
                </c:pt>
                <c:pt idx="31">
                  <c:v>2043</c:v>
                </c:pt>
                <c:pt idx="32">
                  <c:v>2044</c:v>
                </c:pt>
                <c:pt idx="33">
                  <c:v>2045</c:v>
                </c:pt>
                <c:pt idx="34">
                  <c:v>2046</c:v>
                </c:pt>
                <c:pt idx="35">
                  <c:v>2047</c:v>
                </c:pt>
                <c:pt idx="36">
                  <c:v>2048</c:v>
                </c:pt>
                <c:pt idx="37">
                  <c:v>2049</c:v>
                </c:pt>
                <c:pt idx="38">
                  <c:v>2050</c:v>
                </c:pt>
                <c:pt idx="39">
                  <c:v>2051</c:v>
                </c:pt>
              </c:numCache>
            </c:numRef>
          </c:cat>
          <c:val>
            <c:numRef>
              <c:f>'Tabela 19 e Gráfico 6'!$C$5:$C$44</c:f>
              <c:numCache>
                <c:formatCode>#,##0</c:formatCode>
                <c:ptCount val="40"/>
                <c:pt idx="0">
                  <c:v>10447699</c:v>
                </c:pt>
                <c:pt idx="1">
                  <c:v>10127310</c:v>
                </c:pt>
                <c:pt idx="2">
                  <c:v>9939449</c:v>
                </c:pt>
                <c:pt idx="3">
                  <c:v>9307236</c:v>
                </c:pt>
                <c:pt idx="4">
                  <c:v>8267146</c:v>
                </c:pt>
                <c:pt idx="5">
                  <c:v>8027037</c:v>
                </c:pt>
                <c:pt idx="6">
                  <c:v>8372758</c:v>
                </c:pt>
                <c:pt idx="7">
                  <c:v>8619332</c:v>
                </c:pt>
                <c:pt idx="8">
                  <c:v>3990663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AA7-4D09-8D38-E36B1D71C084}"/>
            </c:ext>
          </c:extLst>
        </c:ser>
        <c:ser>
          <c:idx val="4"/>
          <c:order val="1"/>
          <c:tx>
            <c:strRef>
              <c:f>'Tabela 19 e Gráfico 6'!$D$4</c:f>
              <c:strCache>
                <c:ptCount val="1"/>
                <c:pt idx="0">
                  <c:v>Cenário de Referência</c:v>
                </c:pt>
              </c:strCache>
            </c:strRef>
          </c:tx>
          <c:spPr>
            <a:ln w="3810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'Tabela 19 e Gráfico 6'!$B$5:$B$44</c:f>
              <c:numCache>
                <c:formatCode>0</c:formatCode>
                <c:ptCount val="4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  <c:pt idx="25">
                  <c:v>2037</c:v>
                </c:pt>
                <c:pt idx="26">
                  <c:v>2038</c:v>
                </c:pt>
                <c:pt idx="27">
                  <c:v>2039</c:v>
                </c:pt>
                <c:pt idx="28">
                  <c:v>2040</c:v>
                </c:pt>
                <c:pt idx="29">
                  <c:v>2041</c:v>
                </c:pt>
                <c:pt idx="30">
                  <c:v>2042</c:v>
                </c:pt>
                <c:pt idx="31">
                  <c:v>2043</c:v>
                </c:pt>
                <c:pt idx="32">
                  <c:v>2044</c:v>
                </c:pt>
                <c:pt idx="33">
                  <c:v>2045</c:v>
                </c:pt>
                <c:pt idx="34">
                  <c:v>2046</c:v>
                </c:pt>
                <c:pt idx="35">
                  <c:v>2047</c:v>
                </c:pt>
                <c:pt idx="36">
                  <c:v>2048</c:v>
                </c:pt>
                <c:pt idx="37">
                  <c:v>2049</c:v>
                </c:pt>
                <c:pt idx="38">
                  <c:v>2050</c:v>
                </c:pt>
                <c:pt idx="39">
                  <c:v>2051</c:v>
                </c:pt>
              </c:numCache>
            </c:numRef>
          </c:cat>
          <c:val>
            <c:numRef>
              <c:f>'Tabela 19 e Gráfico 6'!$D$5:$D$44</c:f>
              <c:numCache>
                <c:formatCode>#,##0</c:formatCode>
                <c:ptCount val="40"/>
                <c:pt idx="8">
                  <c:v>3990663</c:v>
                </c:pt>
                <c:pt idx="9">
                  <c:v>4906113</c:v>
                </c:pt>
                <c:pt idx="10">
                  <c:v>8618252</c:v>
                </c:pt>
                <c:pt idx="11">
                  <c:v>8617892</c:v>
                </c:pt>
                <c:pt idx="12">
                  <c:v>8617532</c:v>
                </c:pt>
                <c:pt idx="13">
                  <c:v>8617172</c:v>
                </c:pt>
                <c:pt idx="14">
                  <c:v>8616812</c:v>
                </c:pt>
                <c:pt idx="15">
                  <c:v>8616452</c:v>
                </c:pt>
                <c:pt idx="16">
                  <c:v>8616092</c:v>
                </c:pt>
                <c:pt idx="17">
                  <c:v>8615732</c:v>
                </c:pt>
                <c:pt idx="18">
                  <c:v>8615372</c:v>
                </c:pt>
                <c:pt idx="19">
                  <c:v>8615012</c:v>
                </c:pt>
                <c:pt idx="20">
                  <c:v>8614653</c:v>
                </c:pt>
                <c:pt idx="21">
                  <c:v>8614293</c:v>
                </c:pt>
                <c:pt idx="22">
                  <c:v>8613933</c:v>
                </c:pt>
                <c:pt idx="23">
                  <c:v>8613573</c:v>
                </c:pt>
                <c:pt idx="24">
                  <c:v>8613213</c:v>
                </c:pt>
                <c:pt idx="25">
                  <c:v>8612853</c:v>
                </c:pt>
                <c:pt idx="26">
                  <c:v>8612494</c:v>
                </c:pt>
                <c:pt idx="27">
                  <c:v>8612134</c:v>
                </c:pt>
                <c:pt idx="28">
                  <c:v>8611774</c:v>
                </c:pt>
                <c:pt idx="29">
                  <c:v>8611414</c:v>
                </c:pt>
                <c:pt idx="30">
                  <c:v>8611055</c:v>
                </c:pt>
                <c:pt idx="31">
                  <c:v>8610695</c:v>
                </c:pt>
                <c:pt idx="32">
                  <c:v>8610335</c:v>
                </c:pt>
                <c:pt idx="33">
                  <c:v>8609976</c:v>
                </c:pt>
                <c:pt idx="34">
                  <c:v>8609616</c:v>
                </c:pt>
                <c:pt idx="35">
                  <c:v>8609256</c:v>
                </c:pt>
                <c:pt idx="36">
                  <c:v>8608897</c:v>
                </c:pt>
                <c:pt idx="37">
                  <c:v>8608537</c:v>
                </c:pt>
                <c:pt idx="38">
                  <c:v>8608178</c:v>
                </c:pt>
                <c:pt idx="39">
                  <c:v>8607818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278-4ECD-9F5F-4A2F6405E293}"/>
            </c:ext>
          </c:extLst>
        </c:ser>
        <c:ser>
          <c:idx val="5"/>
          <c:order val="2"/>
          <c:tx>
            <c:strRef>
              <c:f>'Tabela 19 e Gráfico 6'!$E$4</c:f>
              <c:strCache>
                <c:ptCount val="1"/>
                <c:pt idx="0">
                  <c:v>Cenário Transformador</c:v>
                </c:pt>
              </c:strCache>
            </c:strRef>
          </c:tx>
          <c:spPr>
            <a:ln w="3810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numRef>
              <c:f>'Tabela 19 e Gráfico 6'!$B$5:$B$44</c:f>
              <c:numCache>
                <c:formatCode>0</c:formatCode>
                <c:ptCount val="4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  <c:pt idx="25">
                  <c:v>2037</c:v>
                </c:pt>
                <c:pt idx="26">
                  <c:v>2038</c:v>
                </c:pt>
                <c:pt idx="27">
                  <c:v>2039</c:v>
                </c:pt>
                <c:pt idx="28">
                  <c:v>2040</c:v>
                </c:pt>
                <c:pt idx="29">
                  <c:v>2041</c:v>
                </c:pt>
                <c:pt idx="30">
                  <c:v>2042</c:v>
                </c:pt>
                <c:pt idx="31">
                  <c:v>2043</c:v>
                </c:pt>
                <c:pt idx="32">
                  <c:v>2044</c:v>
                </c:pt>
                <c:pt idx="33">
                  <c:v>2045</c:v>
                </c:pt>
                <c:pt idx="34">
                  <c:v>2046</c:v>
                </c:pt>
                <c:pt idx="35">
                  <c:v>2047</c:v>
                </c:pt>
                <c:pt idx="36">
                  <c:v>2048</c:v>
                </c:pt>
                <c:pt idx="37">
                  <c:v>2049</c:v>
                </c:pt>
                <c:pt idx="38">
                  <c:v>2050</c:v>
                </c:pt>
                <c:pt idx="39">
                  <c:v>2051</c:v>
                </c:pt>
              </c:numCache>
            </c:numRef>
          </c:cat>
          <c:val>
            <c:numRef>
              <c:f>'Tabela 19 e Gráfico 6'!$E$5:$E$44</c:f>
              <c:numCache>
                <c:formatCode>#,##0</c:formatCode>
                <c:ptCount val="40"/>
                <c:pt idx="8">
                  <c:v>3990663</c:v>
                </c:pt>
                <c:pt idx="9">
                  <c:v>4468738</c:v>
                </c:pt>
                <c:pt idx="10">
                  <c:v>8618747</c:v>
                </c:pt>
                <c:pt idx="11">
                  <c:v>8618552</c:v>
                </c:pt>
                <c:pt idx="12">
                  <c:v>8618357</c:v>
                </c:pt>
                <c:pt idx="13">
                  <c:v>8618162</c:v>
                </c:pt>
                <c:pt idx="14">
                  <c:v>8617968</c:v>
                </c:pt>
                <c:pt idx="15">
                  <c:v>8617773</c:v>
                </c:pt>
                <c:pt idx="16">
                  <c:v>8617578</c:v>
                </c:pt>
                <c:pt idx="17">
                  <c:v>8617383</c:v>
                </c:pt>
                <c:pt idx="18">
                  <c:v>8617188</c:v>
                </c:pt>
                <c:pt idx="19">
                  <c:v>8616993</c:v>
                </c:pt>
                <c:pt idx="20">
                  <c:v>8616798</c:v>
                </c:pt>
                <c:pt idx="21">
                  <c:v>8616603</c:v>
                </c:pt>
                <c:pt idx="22">
                  <c:v>8616408</c:v>
                </c:pt>
                <c:pt idx="23">
                  <c:v>8616214</c:v>
                </c:pt>
                <c:pt idx="24">
                  <c:v>8616019</c:v>
                </c:pt>
                <c:pt idx="25">
                  <c:v>8615824</c:v>
                </c:pt>
                <c:pt idx="26">
                  <c:v>8615629</c:v>
                </c:pt>
                <c:pt idx="27">
                  <c:v>8615434</c:v>
                </c:pt>
                <c:pt idx="28">
                  <c:v>8615239</c:v>
                </c:pt>
                <c:pt idx="29">
                  <c:v>8615044</c:v>
                </c:pt>
                <c:pt idx="30">
                  <c:v>8614850</c:v>
                </c:pt>
                <c:pt idx="31">
                  <c:v>8614655</c:v>
                </c:pt>
                <c:pt idx="32">
                  <c:v>8614460</c:v>
                </c:pt>
                <c:pt idx="33">
                  <c:v>8614265</c:v>
                </c:pt>
                <c:pt idx="34">
                  <c:v>8614070</c:v>
                </c:pt>
                <c:pt idx="35">
                  <c:v>8613876</c:v>
                </c:pt>
                <c:pt idx="36">
                  <c:v>8613681</c:v>
                </c:pt>
                <c:pt idx="37">
                  <c:v>8613486</c:v>
                </c:pt>
                <c:pt idx="38">
                  <c:v>8613291</c:v>
                </c:pt>
                <c:pt idx="39">
                  <c:v>8613096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278-4ECD-9F5F-4A2F6405E2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4297168"/>
        <c:axId val="444288432"/>
        <c:extLst/>
      </c:lineChart>
      <c:catAx>
        <c:axId val="444297168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4288432"/>
        <c:crosses val="autoZero"/>
        <c:auto val="1"/>
        <c:lblAlgn val="ctr"/>
        <c:lblOffset val="100"/>
        <c:noMultiLvlLbl val="0"/>
      </c:catAx>
      <c:valAx>
        <c:axId val="444288432"/>
        <c:scaling>
          <c:orientation val="minMax"/>
          <c:max val="11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4297168"/>
        <c:crosses val="autoZero"/>
        <c:crossBetween val="between"/>
        <c:majorUnit val="500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3928108153963612"/>
          <c:y val="0.65104148683891272"/>
          <c:w val="0.2174873586443222"/>
          <c:h val="0.11879981896015827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'Tabela 19 e Gráfico 6 (2)'!$C$4</c:f>
              <c:strCache>
                <c:ptCount val="1"/>
                <c:pt idx="0">
                  <c:v>Realizado</c:v>
                </c:pt>
              </c:strCache>
            </c:strRef>
          </c:tx>
          <c:spPr>
            <a:ln w="3810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'Tabela 19 e Gráfico 6 (2)'!$B$5:$B$44</c:f>
              <c:numCache>
                <c:formatCode>0</c:formatCode>
                <c:ptCount val="4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  <c:pt idx="25">
                  <c:v>2037</c:v>
                </c:pt>
                <c:pt idx="26">
                  <c:v>2038</c:v>
                </c:pt>
                <c:pt idx="27">
                  <c:v>2039</c:v>
                </c:pt>
                <c:pt idx="28">
                  <c:v>2040</c:v>
                </c:pt>
                <c:pt idx="29">
                  <c:v>2041</c:v>
                </c:pt>
                <c:pt idx="30">
                  <c:v>2042</c:v>
                </c:pt>
                <c:pt idx="31">
                  <c:v>2043</c:v>
                </c:pt>
                <c:pt idx="32">
                  <c:v>2044</c:v>
                </c:pt>
                <c:pt idx="33">
                  <c:v>2045</c:v>
                </c:pt>
                <c:pt idx="34">
                  <c:v>2046</c:v>
                </c:pt>
                <c:pt idx="35">
                  <c:v>2047</c:v>
                </c:pt>
                <c:pt idx="36">
                  <c:v>2048</c:v>
                </c:pt>
                <c:pt idx="37">
                  <c:v>2049</c:v>
                </c:pt>
                <c:pt idx="38">
                  <c:v>2050</c:v>
                </c:pt>
                <c:pt idx="39">
                  <c:v>2051</c:v>
                </c:pt>
              </c:numCache>
            </c:numRef>
          </c:cat>
          <c:val>
            <c:numRef>
              <c:f>'Tabela 19 e Gráfico 6 (2)'!$C$5:$C$44</c:f>
              <c:numCache>
                <c:formatCode>#,##0</c:formatCode>
                <c:ptCount val="40"/>
                <c:pt idx="0">
                  <c:v>10447699</c:v>
                </c:pt>
                <c:pt idx="1">
                  <c:v>10127310</c:v>
                </c:pt>
                <c:pt idx="2">
                  <c:v>9939449</c:v>
                </c:pt>
                <c:pt idx="3">
                  <c:v>9307236</c:v>
                </c:pt>
                <c:pt idx="4">
                  <c:v>8267146</c:v>
                </c:pt>
                <c:pt idx="5">
                  <c:v>8027037</c:v>
                </c:pt>
                <c:pt idx="6">
                  <c:v>8372758</c:v>
                </c:pt>
                <c:pt idx="7">
                  <c:v>8619332</c:v>
                </c:pt>
                <c:pt idx="8">
                  <c:v>3990663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33D-404D-88BF-9D1FAB840EFA}"/>
            </c:ext>
          </c:extLst>
        </c:ser>
        <c:ser>
          <c:idx val="4"/>
          <c:order val="4"/>
          <c:tx>
            <c:strRef>
              <c:f>'Tabela 19 e Gráfico 6 (2)'!$G$4</c:f>
              <c:strCache>
                <c:ptCount val="1"/>
                <c:pt idx="0">
                  <c:v>Cenário de Referência</c:v>
                </c:pt>
              </c:strCache>
            </c:strRef>
          </c:tx>
          <c:spPr>
            <a:ln w="3810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'Tabela 19 e Gráfico 6 (2)'!$B$5:$B$44</c:f>
              <c:numCache>
                <c:formatCode>0</c:formatCode>
                <c:ptCount val="4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  <c:pt idx="25">
                  <c:v>2037</c:v>
                </c:pt>
                <c:pt idx="26">
                  <c:v>2038</c:v>
                </c:pt>
                <c:pt idx="27">
                  <c:v>2039</c:v>
                </c:pt>
                <c:pt idx="28">
                  <c:v>2040</c:v>
                </c:pt>
                <c:pt idx="29">
                  <c:v>2041</c:v>
                </c:pt>
                <c:pt idx="30">
                  <c:v>2042</c:v>
                </c:pt>
                <c:pt idx="31">
                  <c:v>2043</c:v>
                </c:pt>
                <c:pt idx="32">
                  <c:v>2044</c:v>
                </c:pt>
                <c:pt idx="33">
                  <c:v>2045</c:v>
                </c:pt>
                <c:pt idx="34">
                  <c:v>2046</c:v>
                </c:pt>
                <c:pt idx="35">
                  <c:v>2047</c:v>
                </c:pt>
                <c:pt idx="36">
                  <c:v>2048</c:v>
                </c:pt>
                <c:pt idx="37">
                  <c:v>2049</c:v>
                </c:pt>
                <c:pt idx="38">
                  <c:v>2050</c:v>
                </c:pt>
                <c:pt idx="39">
                  <c:v>2051</c:v>
                </c:pt>
              </c:numCache>
            </c:numRef>
          </c:cat>
          <c:val>
            <c:numRef>
              <c:f>'Tabela 19 e Gráfico 6 (2)'!$G$5:$G$44</c:f>
              <c:numCache>
                <c:formatCode>#,##0</c:formatCode>
                <c:ptCount val="40"/>
                <c:pt idx="8">
                  <c:v>3990663</c:v>
                </c:pt>
                <c:pt idx="9">
                  <c:v>4906113</c:v>
                </c:pt>
                <c:pt idx="10">
                  <c:v>8618252</c:v>
                </c:pt>
                <c:pt idx="11">
                  <c:v>8617892</c:v>
                </c:pt>
                <c:pt idx="12">
                  <c:v>8617532</c:v>
                </c:pt>
                <c:pt idx="13">
                  <c:v>8617172</c:v>
                </c:pt>
                <c:pt idx="14">
                  <c:v>8616812</c:v>
                </c:pt>
                <c:pt idx="15">
                  <c:v>8616452</c:v>
                </c:pt>
                <c:pt idx="16">
                  <c:v>8616092</c:v>
                </c:pt>
                <c:pt idx="17">
                  <c:v>8615732</c:v>
                </c:pt>
                <c:pt idx="18">
                  <c:v>8615372</c:v>
                </c:pt>
                <c:pt idx="19">
                  <c:v>8615012</c:v>
                </c:pt>
                <c:pt idx="20">
                  <c:v>8614653</c:v>
                </c:pt>
                <c:pt idx="21">
                  <c:v>8614293</c:v>
                </c:pt>
                <c:pt idx="22">
                  <c:v>8613933</c:v>
                </c:pt>
                <c:pt idx="23">
                  <c:v>8613573</c:v>
                </c:pt>
                <c:pt idx="24">
                  <c:v>8613213</c:v>
                </c:pt>
                <c:pt idx="25">
                  <c:v>8612853</c:v>
                </c:pt>
                <c:pt idx="26">
                  <c:v>8612494</c:v>
                </c:pt>
                <c:pt idx="27">
                  <c:v>8612134</c:v>
                </c:pt>
                <c:pt idx="28">
                  <c:v>8611774</c:v>
                </c:pt>
                <c:pt idx="29">
                  <c:v>8611414</c:v>
                </c:pt>
                <c:pt idx="30">
                  <c:v>8611055</c:v>
                </c:pt>
                <c:pt idx="31">
                  <c:v>8610695</c:v>
                </c:pt>
                <c:pt idx="32">
                  <c:v>8610335</c:v>
                </c:pt>
                <c:pt idx="33">
                  <c:v>8609976</c:v>
                </c:pt>
                <c:pt idx="34">
                  <c:v>8609616</c:v>
                </c:pt>
                <c:pt idx="35">
                  <c:v>8609256</c:v>
                </c:pt>
                <c:pt idx="36">
                  <c:v>8608897</c:v>
                </c:pt>
                <c:pt idx="37">
                  <c:v>8608537</c:v>
                </c:pt>
                <c:pt idx="38">
                  <c:v>8608178</c:v>
                </c:pt>
                <c:pt idx="39">
                  <c:v>8607818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33D-404D-88BF-9D1FAB840EFA}"/>
            </c:ext>
          </c:extLst>
        </c:ser>
        <c:ser>
          <c:idx val="5"/>
          <c:order val="5"/>
          <c:tx>
            <c:strRef>
              <c:f>'Tabela 19 e Gráfico 6 (2)'!$H$4</c:f>
              <c:strCache>
                <c:ptCount val="1"/>
                <c:pt idx="0">
                  <c:v>Cenário Transformador</c:v>
                </c:pt>
              </c:strCache>
            </c:strRef>
          </c:tx>
          <c:spPr>
            <a:ln w="3810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numRef>
              <c:f>'Tabela 19 e Gráfico 6 (2)'!$B$5:$B$44</c:f>
              <c:numCache>
                <c:formatCode>0</c:formatCode>
                <c:ptCount val="4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  <c:pt idx="25">
                  <c:v>2037</c:v>
                </c:pt>
                <c:pt idx="26">
                  <c:v>2038</c:v>
                </c:pt>
                <c:pt idx="27">
                  <c:v>2039</c:v>
                </c:pt>
                <c:pt idx="28">
                  <c:v>2040</c:v>
                </c:pt>
                <c:pt idx="29">
                  <c:v>2041</c:v>
                </c:pt>
                <c:pt idx="30">
                  <c:v>2042</c:v>
                </c:pt>
                <c:pt idx="31">
                  <c:v>2043</c:v>
                </c:pt>
                <c:pt idx="32">
                  <c:v>2044</c:v>
                </c:pt>
                <c:pt idx="33">
                  <c:v>2045</c:v>
                </c:pt>
                <c:pt idx="34">
                  <c:v>2046</c:v>
                </c:pt>
                <c:pt idx="35">
                  <c:v>2047</c:v>
                </c:pt>
                <c:pt idx="36">
                  <c:v>2048</c:v>
                </c:pt>
                <c:pt idx="37">
                  <c:v>2049</c:v>
                </c:pt>
                <c:pt idx="38">
                  <c:v>2050</c:v>
                </c:pt>
                <c:pt idx="39">
                  <c:v>2051</c:v>
                </c:pt>
              </c:numCache>
            </c:numRef>
          </c:cat>
          <c:val>
            <c:numRef>
              <c:f>'Tabela 19 e Gráfico 6 (2)'!$H$5:$H$44</c:f>
              <c:numCache>
                <c:formatCode>#,##0</c:formatCode>
                <c:ptCount val="40"/>
                <c:pt idx="8">
                  <c:v>3990663</c:v>
                </c:pt>
                <c:pt idx="9">
                  <c:v>4468738</c:v>
                </c:pt>
                <c:pt idx="10">
                  <c:v>8618747</c:v>
                </c:pt>
                <c:pt idx="11">
                  <c:v>8618552</c:v>
                </c:pt>
                <c:pt idx="12">
                  <c:v>8618357</c:v>
                </c:pt>
                <c:pt idx="13">
                  <c:v>8618162</c:v>
                </c:pt>
                <c:pt idx="14">
                  <c:v>8617968</c:v>
                </c:pt>
                <c:pt idx="15">
                  <c:v>8617773</c:v>
                </c:pt>
                <c:pt idx="16">
                  <c:v>8617578</c:v>
                </c:pt>
                <c:pt idx="17">
                  <c:v>8617383</c:v>
                </c:pt>
                <c:pt idx="18">
                  <c:v>8617188</c:v>
                </c:pt>
                <c:pt idx="19">
                  <c:v>8616993</c:v>
                </c:pt>
                <c:pt idx="20">
                  <c:v>8616798</c:v>
                </c:pt>
                <c:pt idx="21">
                  <c:v>8616603</c:v>
                </c:pt>
                <c:pt idx="22">
                  <c:v>8616408</c:v>
                </c:pt>
                <c:pt idx="23">
                  <c:v>8616214</c:v>
                </c:pt>
                <c:pt idx="24">
                  <c:v>8616019</c:v>
                </c:pt>
                <c:pt idx="25">
                  <c:v>8615824</c:v>
                </c:pt>
                <c:pt idx="26">
                  <c:v>8615629</c:v>
                </c:pt>
                <c:pt idx="27">
                  <c:v>8615434</c:v>
                </c:pt>
                <c:pt idx="28">
                  <c:v>8615239</c:v>
                </c:pt>
                <c:pt idx="29">
                  <c:v>8615044</c:v>
                </c:pt>
                <c:pt idx="30">
                  <c:v>8614850</c:v>
                </c:pt>
                <c:pt idx="31">
                  <c:v>8614655</c:v>
                </c:pt>
                <c:pt idx="32">
                  <c:v>8614460</c:v>
                </c:pt>
                <c:pt idx="33">
                  <c:v>8614265</c:v>
                </c:pt>
                <c:pt idx="34">
                  <c:v>8614070</c:v>
                </c:pt>
                <c:pt idx="35">
                  <c:v>8613876</c:v>
                </c:pt>
                <c:pt idx="36">
                  <c:v>8613681</c:v>
                </c:pt>
                <c:pt idx="37">
                  <c:v>8613486</c:v>
                </c:pt>
                <c:pt idx="38">
                  <c:v>8613291</c:v>
                </c:pt>
                <c:pt idx="39">
                  <c:v>8613096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733D-404D-88BF-9D1FAB840E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4297168"/>
        <c:axId val="444288432"/>
        <c:extLst>
          <c:ext xmlns:c15="http://schemas.microsoft.com/office/drawing/2012/chart" uri="{02D57815-91ED-43cb-92C2-25804820EDAC}">
            <c15:filteredLineSeries>
              <c15:ser>
                <c:idx val="2"/>
                <c:order val="1"/>
                <c:tx>
                  <c:strRef>
                    <c:extLst>
                      <c:ext uri="{02D57815-91ED-43cb-92C2-25804820EDAC}">
                        <c15:formulaRef>
                          <c15:sqref>'Tabela 19 e Gráfico 6 (2)'!$D$4</c15:sqref>
                        </c15:formulaRef>
                      </c:ext>
                    </c:extLst>
                    <c:strCache>
                      <c:ptCount val="1"/>
                      <c:pt idx="0">
                        <c:v>Cenário Pessimista</c:v>
                      </c:pt>
                    </c:strCache>
                  </c:strRef>
                </c:tx>
                <c:spPr>
                  <a:ln w="28575" cap="rnd">
                    <a:solidFill>
                      <a:srgbClr val="FF0000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'Tabela 19 e Gráfico 6 (2)'!$B$5:$B$44</c15:sqref>
                        </c15:formulaRef>
                      </c:ext>
                    </c:extLst>
                    <c:numCache>
                      <c:formatCode>0</c:formatCode>
                      <c:ptCount val="40"/>
                      <c:pt idx="0">
                        <c:v>2012</c:v>
                      </c:pt>
                      <c:pt idx="1">
                        <c:v>2013</c:v>
                      </c:pt>
                      <c:pt idx="2">
                        <c:v>2014</c:v>
                      </c:pt>
                      <c:pt idx="3">
                        <c:v>2015</c:v>
                      </c:pt>
                      <c:pt idx="4">
                        <c:v>2016</c:v>
                      </c:pt>
                      <c:pt idx="5">
                        <c:v>2017</c:v>
                      </c:pt>
                      <c:pt idx="6">
                        <c:v>2018</c:v>
                      </c:pt>
                      <c:pt idx="7">
                        <c:v>2019</c:v>
                      </c:pt>
                      <c:pt idx="8">
                        <c:v>2020</c:v>
                      </c:pt>
                      <c:pt idx="9">
                        <c:v>2021</c:v>
                      </c:pt>
                      <c:pt idx="10">
                        <c:v>2022</c:v>
                      </c:pt>
                      <c:pt idx="11">
                        <c:v>2023</c:v>
                      </c:pt>
                      <c:pt idx="12">
                        <c:v>2024</c:v>
                      </c:pt>
                      <c:pt idx="13">
                        <c:v>2025</c:v>
                      </c:pt>
                      <c:pt idx="14">
                        <c:v>2026</c:v>
                      </c:pt>
                      <c:pt idx="15">
                        <c:v>2027</c:v>
                      </c:pt>
                      <c:pt idx="16">
                        <c:v>2028</c:v>
                      </c:pt>
                      <c:pt idx="17">
                        <c:v>2029</c:v>
                      </c:pt>
                      <c:pt idx="18">
                        <c:v>2030</c:v>
                      </c:pt>
                      <c:pt idx="19">
                        <c:v>2031</c:v>
                      </c:pt>
                      <c:pt idx="20">
                        <c:v>2032</c:v>
                      </c:pt>
                      <c:pt idx="21">
                        <c:v>2033</c:v>
                      </c:pt>
                      <c:pt idx="22">
                        <c:v>2034</c:v>
                      </c:pt>
                      <c:pt idx="23">
                        <c:v>2035</c:v>
                      </c:pt>
                      <c:pt idx="24">
                        <c:v>2036</c:v>
                      </c:pt>
                      <c:pt idx="25">
                        <c:v>2037</c:v>
                      </c:pt>
                      <c:pt idx="26">
                        <c:v>2038</c:v>
                      </c:pt>
                      <c:pt idx="27">
                        <c:v>2039</c:v>
                      </c:pt>
                      <c:pt idx="28">
                        <c:v>2040</c:v>
                      </c:pt>
                      <c:pt idx="29">
                        <c:v>2041</c:v>
                      </c:pt>
                      <c:pt idx="30">
                        <c:v>2042</c:v>
                      </c:pt>
                      <c:pt idx="31">
                        <c:v>2043</c:v>
                      </c:pt>
                      <c:pt idx="32">
                        <c:v>2044</c:v>
                      </c:pt>
                      <c:pt idx="33">
                        <c:v>2045</c:v>
                      </c:pt>
                      <c:pt idx="34">
                        <c:v>2046</c:v>
                      </c:pt>
                      <c:pt idx="35">
                        <c:v>2047</c:v>
                      </c:pt>
                      <c:pt idx="36">
                        <c:v>2048</c:v>
                      </c:pt>
                      <c:pt idx="37">
                        <c:v>2049</c:v>
                      </c:pt>
                      <c:pt idx="38">
                        <c:v>2050</c:v>
                      </c:pt>
                      <c:pt idx="39">
                        <c:v>2051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'Tabela 19 e Gráfico 6 (2)'!$D$5:$D$44</c15:sqref>
                        </c15:formulaRef>
                      </c:ext>
                    </c:extLst>
                    <c:numCache>
                      <c:formatCode>#,##0</c:formatCode>
                      <c:ptCount val="40"/>
                      <c:pt idx="8">
                        <c:v>3990663</c:v>
                      </c:pt>
                      <c:pt idx="9">
                        <c:v>3990663</c:v>
                      </c:pt>
                      <c:pt idx="10">
                        <c:v>4190196.1500000004</c:v>
                      </c:pt>
                      <c:pt idx="11">
                        <c:v>4504460.8612500001</c:v>
                      </c:pt>
                      <c:pt idx="12">
                        <c:v>4954906.9473749995</c:v>
                      </c:pt>
                      <c:pt idx="13">
                        <c:v>5574270.3157968745</c:v>
                      </c:pt>
                      <c:pt idx="14">
                        <c:v>6410410.8631664068</c:v>
                      </c:pt>
                      <c:pt idx="15">
                        <c:v>7532232.7642205274</c:v>
                      </c:pt>
                      <c:pt idx="16">
                        <c:v>9038679.3170646317</c:v>
                      </c:pt>
                      <c:pt idx="17">
                        <c:v>9174259.5068206023</c:v>
                      </c:pt>
                      <c:pt idx="18">
                        <c:v>9311873.3994229119</c:v>
                      </c:pt>
                      <c:pt idx="19">
                        <c:v>9451551.500414256</c:v>
                      </c:pt>
                      <c:pt idx="20">
                        <c:v>9593324.7729204707</c:v>
                      </c:pt>
                      <c:pt idx="21">
                        <c:v>9737224.6445142776</c:v>
                      </c:pt>
                      <c:pt idx="22">
                        <c:v>9883283.0141819902</c:v>
                      </c:pt>
                      <c:pt idx="23">
                        <c:v>10031532.25939472</c:v>
                      </c:pt>
                      <c:pt idx="24">
                        <c:v>10182005.243285641</c:v>
                      </c:pt>
                      <c:pt idx="25">
                        <c:v>10334735.321934927</c:v>
                      </c:pt>
                      <c:pt idx="26">
                        <c:v>10489756.351763951</c:v>
                      </c:pt>
                      <c:pt idx="27">
                        <c:v>10511860.330667574</c:v>
                      </c:pt>
                      <c:pt idx="28">
                        <c:v>10531171.359525234</c:v>
                      </c:pt>
                      <c:pt idx="29">
                        <c:v>10547714.231461694</c:v>
                      </c:pt>
                      <c:pt idx="30">
                        <c:v>10561534.218904417</c:v>
                      </c:pt>
                      <c:pt idx="31">
                        <c:v>10572681.362189474</c:v>
                      </c:pt>
                      <c:pt idx="32">
                        <c:v>10581169.647182116</c:v>
                      </c:pt>
                      <c:pt idx="33">
                        <c:v>10587010.516863007</c:v>
                      </c:pt>
                      <c:pt idx="34">
                        <c:v>10590217.820871439</c:v>
                      </c:pt>
                      <c:pt idx="35">
                        <c:v>10590826.887139775</c:v>
                      </c:pt>
                      <c:pt idx="36">
                        <c:v>10588865.778215829</c:v>
                      </c:pt>
                      <c:pt idx="37">
                        <c:v>10584324.095517967</c:v>
                      </c:pt>
                      <c:pt idx="38">
                        <c:v>10577186.400104025</c:v>
                      </c:pt>
                      <c:pt idx="39">
                        <c:v>10567464.089546014</c:v>
                      </c:pt>
                    </c:numCache>
                  </c:numRef>
                </c:val>
                <c:smooth val="1"/>
                <c:extLst>
                  <c:ext xmlns:c16="http://schemas.microsoft.com/office/drawing/2014/chart" uri="{C3380CC4-5D6E-409C-BE32-E72D297353CC}">
                    <c16:uniqueId val="{00000003-733D-404D-88BF-9D1FAB840EFA}"/>
                  </c:ext>
                </c:extLst>
              </c15:ser>
            </c15:filteredLineSeries>
            <c15:filteredLineSeries>
              <c15:ser>
                <c:idx val="3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'Tabela 19 e Gráfico 6 (2)'!$E$4</c15:sqref>
                        </c15:formulaRef>
                      </c:ext>
                    </c:extLst>
                    <c:strCache>
                      <c:ptCount val="1"/>
                      <c:pt idx="0">
                        <c:v>Cenário Intermediário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'Tabela 19 e Gráfico 6 (2)'!$B$5:$B$44</c15:sqref>
                        </c15:formulaRef>
                      </c:ext>
                    </c:extLst>
                    <c:numCache>
                      <c:formatCode>0</c:formatCode>
                      <c:ptCount val="40"/>
                      <c:pt idx="0">
                        <c:v>2012</c:v>
                      </c:pt>
                      <c:pt idx="1">
                        <c:v>2013</c:v>
                      </c:pt>
                      <c:pt idx="2">
                        <c:v>2014</c:v>
                      </c:pt>
                      <c:pt idx="3">
                        <c:v>2015</c:v>
                      </c:pt>
                      <c:pt idx="4">
                        <c:v>2016</c:v>
                      </c:pt>
                      <c:pt idx="5">
                        <c:v>2017</c:v>
                      </c:pt>
                      <c:pt idx="6">
                        <c:v>2018</c:v>
                      </c:pt>
                      <c:pt idx="7">
                        <c:v>2019</c:v>
                      </c:pt>
                      <c:pt idx="8">
                        <c:v>2020</c:v>
                      </c:pt>
                      <c:pt idx="9">
                        <c:v>2021</c:v>
                      </c:pt>
                      <c:pt idx="10">
                        <c:v>2022</c:v>
                      </c:pt>
                      <c:pt idx="11">
                        <c:v>2023</c:v>
                      </c:pt>
                      <c:pt idx="12">
                        <c:v>2024</c:v>
                      </c:pt>
                      <c:pt idx="13">
                        <c:v>2025</c:v>
                      </c:pt>
                      <c:pt idx="14">
                        <c:v>2026</c:v>
                      </c:pt>
                      <c:pt idx="15">
                        <c:v>2027</c:v>
                      </c:pt>
                      <c:pt idx="16">
                        <c:v>2028</c:v>
                      </c:pt>
                      <c:pt idx="17">
                        <c:v>2029</c:v>
                      </c:pt>
                      <c:pt idx="18">
                        <c:v>2030</c:v>
                      </c:pt>
                      <c:pt idx="19">
                        <c:v>2031</c:v>
                      </c:pt>
                      <c:pt idx="20">
                        <c:v>2032</c:v>
                      </c:pt>
                      <c:pt idx="21">
                        <c:v>2033</c:v>
                      </c:pt>
                      <c:pt idx="22">
                        <c:v>2034</c:v>
                      </c:pt>
                      <c:pt idx="23">
                        <c:v>2035</c:v>
                      </c:pt>
                      <c:pt idx="24">
                        <c:v>2036</c:v>
                      </c:pt>
                      <c:pt idx="25">
                        <c:v>2037</c:v>
                      </c:pt>
                      <c:pt idx="26">
                        <c:v>2038</c:v>
                      </c:pt>
                      <c:pt idx="27">
                        <c:v>2039</c:v>
                      </c:pt>
                      <c:pt idx="28">
                        <c:v>2040</c:v>
                      </c:pt>
                      <c:pt idx="29">
                        <c:v>2041</c:v>
                      </c:pt>
                      <c:pt idx="30">
                        <c:v>2042</c:v>
                      </c:pt>
                      <c:pt idx="31">
                        <c:v>2043</c:v>
                      </c:pt>
                      <c:pt idx="32">
                        <c:v>2044</c:v>
                      </c:pt>
                      <c:pt idx="33">
                        <c:v>2045</c:v>
                      </c:pt>
                      <c:pt idx="34">
                        <c:v>2046</c:v>
                      </c:pt>
                      <c:pt idx="35">
                        <c:v>2047</c:v>
                      </c:pt>
                      <c:pt idx="36">
                        <c:v>2048</c:v>
                      </c:pt>
                      <c:pt idx="37">
                        <c:v>2049</c:v>
                      </c:pt>
                      <c:pt idx="38">
                        <c:v>2050</c:v>
                      </c:pt>
                      <c:pt idx="39">
                        <c:v>2051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'Tabela 19 e Gráfico 6 (2)'!$E$5:$E$44</c15:sqref>
                        </c15:formulaRef>
                      </c:ext>
                    </c:extLst>
                    <c:numCache>
                      <c:formatCode>#,##0</c:formatCode>
                      <c:ptCount val="40"/>
                      <c:pt idx="8">
                        <c:v>3990663</c:v>
                      </c:pt>
                      <c:pt idx="9">
                        <c:v>4190196.1500000004</c:v>
                      </c:pt>
                      <c:pt idx="10">
                        <c:v>4609215.7650000006</c:v>
                      </c:pt>
                      <c:pt idx="11">
                        <c:v>5300598.1297500003</c:v>
                      </c:pt>
                      <c:pt idx="12">
                        <c:v>6095687.8492125003</c:v>
                      </c:pt>
                      <c:pt idx="13">
                        <c:v>7314825.4190549999</c:v>
                      </c:pt>
                      <c:pt idx="14">
                        <c:v>8777790.5028659999</c:v>
                      </c:pt>
                      <c:pt idx="15">
                        <c:v>8988457.4749347866</c:v>
                      </c:pt>
                      <c:pt idx="16">
                        <c:v>9204180.4543332197</c:v>
                      </c:pt>
                      <c:pt idx="17">
                        <c:v>9425080.7852372155</c:v>
                      </c:pt>
                      <c:pt idx="18">
                        <c:v>9651282.7240829095</c:v>
                      </c:pt>
                      <c:pt idx="19">
                        <c:v>9882913.5094609</c:v>
                      </c:pt>
                      <c:pt idx="20">
                        <c:v>10120103.433687959</c:v>
                      </c:pt>
                      <c:pt idx="21">
                        <c:v>10362985.916096471</c:v>
                      </c:pt>
                      <c:pt idx="22">
                        <c:v>10611697.578082785</c:v>
                      </c:pt>
                      <c:pt idx="23">
                        <c:v>10866378.319956772</c:v>
                      </c:pt>
                      <c:pt idx="24">
                        <c:v>11127171.399635736</c:v>
                      </c:pt>
                      <c:pt idx="25">
                        <c:v>11156761.676452439</c:v>
                      </c:pt>
                      <c:pt idx="26">
                        <c:v>11183330.088064268</c:v>
                      </c:pt>
                      <c:pt idx="27">
                        <c:v>11206895.563185841</c:v>
                      </c:pt>
                      <c:pt idx="28">
                        <c:v>11227483.42078837</c:v>
                      </c:pt>
                      <c:pt idx="29">
                        <c:v>11245120.093296871</c:v>
                      </c:pt>
                      <c:pt idx="30">
                        <c:v>11259853.846513063</c:v>
                      </c:pt>
                      <c:pt idx="31">
                        <c:v>11271738.029397327</c:v>
                      </c:pt>
                      <c:pt idx="32">
                        <c:v>11280787.552548388</c:v>
                      </c:pt>
                      <c:pt idx="33">
                        <c:v>11287014.615547024</c:v>
                      </c:pt>
                      <c:pt idx="34">
                        <c:v>11290433.983758856</c:v>
                      </c:pt>
                      <c:pt idx="35">
                        <c:v>11291083.320968976</c:v>
                      </c:pt>
                      <c:pt idx="36">
                        <c:v>11288992.545196909</c:v>
                      </c:pt>
                      <c:pt idx="37">
                        <c:v>11284150.570315681</c:v>
                      </c:pt>
                      <c:pt idx="38">
                        <c:v>11276540.936573451</c:v>
                      </c:pt>
                      <c:pt idx="39">
                        <c:v>11266175.795139957</c:v>
                      </c:pt>
                    </c:numCache>
                  </c:numRef>
                </c:val>
                <c:smooth val="1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733D-404D-88BF-9D1FAB840EFA}"/>
                  </c:ext>
                </c:extLst>
              </c15:ser>
            </c15:filteredLineSeries>
            <c15:filteredLineSeries>
              <c15:ser>
                <c:idx val="0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'Tabela 19 e Gráfico 6 (2)'!$F$4</c15:sqref>
                        </c15:formulaRef>
                      </c:ext>
                    </c:extLst>
                    <c:strCache>
                      <c:ptCount val="1"/>
                      <c:pt idx="0">
                        <c:v>Cenário Otimista</c:v>
                      </c:pt>
                    </c:strCache>
                  </c:strRef>
                </c:tx>
                <c:spPr>
                  <a:ln w="28575" cap="rnd">
                    <a:solidFill>
                      <a:schemeClr val="accent1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'Tabela 19 e Gráfico 6 (2)'!$B$5:$B$44</c15:sqref>
                        </c15:formulaRef>
                      </c:ext>
                    </c:extLst>
                    <c:numCache>
                      <c:formatCode>0</c:formatCode>
                      <c:ptCount val="40"/>
                      <c:pt idx="0">
                        <c:v>2012</c:v>
                      </c:pt>
                      <c:pt idx="1">
                        <c:v>2013</c:v>
                      </c:pt>
                      <c:pt idx="2">
                        <c:v>2014</c:v>
                      </c:pt>
                      <c:pt idx="3">
                        <c:v>2015</c:v>
                      </c:pt>
                      <c:pt idx="4">
                        <c:v>2016</c:v>
                      </c:pt>
                      <c:pt idx="5">
                        <c:v>2017</c:v>
                      </c:pt>
                      <c:pt idx="6">
                        <c:v>2018</c:v>
                      </c:pt>
                      <c:pt idx="7">
                        <c:v>2019</c:v>
                      </c:pt>
                      <c:pt idx="8">
                        <c:v>2020</c:v>
                      </c:pt>
                      <c:pt idx="9">
                        <c:v>2021</c:v>
                      </c:pt>
                      <c:pt idx="10">
                        <c:v>2022</c:v>
                      </c:pt>
                      <c:pt idx="11">
                        <c:v>2023</c:v>
                      </c:pt>
                      <c:pt idx="12">
                        <c:v>2024</c:v>
                      </c:pt>
                      <c:pt idx="13">
                        <c:v>2025</c:v>
                      </c:pt>
                      <c:pt idx="14">
                        <c:v>2026</c:v>
                      </c:pt>
                      <c:pt idx="15">
                        <c:v>2027</c:v>
                      </c:pt>
                      <c:pt idx="16">
                        <c:v>2028</c:v>
                      </c:pt>
                      <c:pt idx="17">
                        <c:v>2029</c:v>
                      </c:pt>
                      <c:pt idx="18">
                        <c:v>2030</c:v>
                      </c:pt>
                      <c:pt idx="19">
                        <c:v>2031</c:v>
                      </c:pt>
                      <c:pt idx="20">
                        <c:v>2032</c:v>
                      </c:pt>
                      <c:pt idx="21">
                        <c:v>2033</c:v>
                      </c:pt>
                      <c:pt idx="22">
                        <c:v>2034</c:v>
                      </c:pt>
                      <c:pt idx="23">
                        <c:v>2035</c:v>
                      </c:pt>
                      <c:pt idx="24">
                        <c:v>2036</c:v>
                      </c:pt>
                      <c:pt idx="25">
                        <c:v>2037</c:v>
                      </c:pt>
                      <c:pt idx="26">
                        <c:v>2038</c:v>
                      </c:pt>
                      <c:pt idx="27">
                        <c:v>2039</c:v>
                      </c:pt>
                      <c:pt idx="28">
                        <c:v>2040</c:v>
                      </c:pt>
                      <c:pt idx="29">
                        <c:v>2041</c:v>
                      </c:pt>
                      <c:pt idx="30">
                        <c:v>2042</c:v>
                      </c:pt>
                      <c:pt idx="31">
                        <c:v>2043</c:v>
                      </c:pt>
                      <c:pt idx="32">
                        <c:v>2044</c:v>
                      </c:pt>
                      <c:pt idx="33">
                        <c:v>2045</c:v>
                      </c:pt>
                      <c:pt idx="34">
                        <c:v>2046</c:v>
                      </c:pt>
                      <c:pt idx="35">
                        <c:v>2047</c:v>
                      </c:pt>
                      <c:pt idx="36">
                        <c:v>2048</c:v>
                      </c:pt>
                      <c:pt idx="37">
                        <c:v>2049</c:v>
                      </c:pt>
                      <c:pt idx="38">
                        <c:v>2050</c:v>
                      </c:pt>
                      <c:pt idx="39">
                        <c:v>2051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'Tabela 19 e Gráfico 6 (2)'!$F$5:$F$44</c15:sqref>
                        </c15:formulaRef>
                      </c:ext>
                    </c:extLst>
                    <c:numCache>
                      <c:formatCode>#,##0</c:formatCode>
                      <c:ptCount val="40"/>
                      <c:pt idx="8">
                        <c:v>3990663</c:v>
                      </c:pt>
                      <c:pt idx="9">
                        <c:v>4389729.3</c:v>
                      </c:pt>
                      <c:pt idx="10">
                        <c:v>5267675.16</c:v>
                      </c:pt>
                      <c:pt idx="11">
                        <c:v>6847977.7079999996</c:v>
                      </c:pt>
                      <c:pt idx="12">
                        <c:v>8902371.0203999989</c:v>
                      </c:pt>
                      <c:pt idx="13">
                        <c:v>9169442.1510119997</c:v>
                      </c:pt>
                      <c:pt idx="14">
                        <c:v>9444525.4155423604</c:v>
                      </c:pt>
                      <c:pt idx="15">
                        <c:v>9727861.1780086309</c:v>
                      </c:pt>
                      <c:pt idx="16">
                        <c:v>10019697.01334889</c:v>
                      </c:pt>
                      <c:pt idx="17">
                        <c:v>10320287.923749357</c:v>
                      </c:pt>
                      <c:pt idx="18">
                        <c:v>10629896.561461836</c:v>
                      </c:pt>
                      <c:pt idx="19">
                        <c:v>10948793.458305692</c:v>
                      </c:pt>
                      <c:pt idx="20">
                        <c:v>11277257.262054864</c:v>
                      </c:pt>
                      <c:pt idx="21">
                        <c:v>11615574.979916509</c:v>
                      </c:pt>
                      <c:pt idx="22">
                        <c:v>11964042.229314003</c:v>
                      </c:pt>
                      <c:pt idx="23">
                        <c:v>12002618.581350826</c:v>
                      </c:pt>
                      <c:pt idx="24">
                        <c:v>12037925.991574481</c:v>
                      </c:pt>
                      <c:pt idx="25">
                        <c:v>12069938.220882043</c:v>
                      </c:pt>
                      <c:pt idx="26">
                        <c:v>12098681.246509146</c:v>
                      </c:pt>
                      <c:pt idx="27">
                        <c:v>12124175.546478234</c:v>
                      </c:pt>
                      <c:pt idx="28">
                        <c:v>12146448.512108333</c:v>
                      </c:pt>
                      <c:pt idx="29">
                        <c:v>12165528.739308026</c:v>
                      </c:pt>
                      <c:pt idx="30">
                        <c:v>12181468.444415871</c:v>
                      </c:pt>
                      <c:pt idx="31">
                        <c:v>12194325.342983622</c:v>
                      </c:pt>
                      <c:pt idx="32">
                        <c:v>12204115.566036634</c:v>
                      </c:pt>
                      <c:pt idx="33">
                        <c:v>12210852.311686557</c:v>
                      </c:pt>
                      <c:pt idx="34">
                        <c:v>12214551.553838369</c:v>
                      </c:pt>
                      <c:pt idx="35">
                        <c:v>12215254.039043125</c:v>
                      </c:pt>
                      <c:pt idx="36">
                        <c:v>12212992.134098448</c:v>
                      </c:pt>
                      <c:pt idx="37">
                        <c:v>12207753.845482241</c:v>
                      </c:pt>
                      <c:pt idx="38">
                        <c:v>12199521.366218466</c:v>
                      </c:pt>
                      <c:pt idx="39">
                        <c:v>12188307.842045315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733D-404D-88BF-9D1FAB840EFA}"/>
                  </c:ext>
                </c:extLst>
              </c15:ser>
            </c15:filteredLineSeries>
          </c:ext>
        </c:extLst>
      </c:lineChart>
      <c:catAx>
        <c:axId val="444297168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4288432"/>
        <c:crosses val="autoZero"/>
        <c:auto val="1"/>
        <c:lblAlgn val="ctr"/>
        <c:lblOffset val="100"/>
        <c:noMultiLvlLbl val="0"/>
      </c:catAx>
      <c:valAx>
        <c:axId val="444288432"/>
        <c:scaling>
          <c:orientation val="minMax"/>
          <c:max val="11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4297168"/>
        <c:crosses val="autoZero"/>
        <c:crossBetween val="between"/>
        <c:majorUnit val="500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3928108153963612"/>
          <c:y val="0.65104148683891272"/>
          <c:w val="0.2174873586443222"/>
          <c:h val="0.11879981896015827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Var_pib_Var_pop_Demanda!$B$4</c:f>
              <c:strCache>
                <c:ptCount val="1"/>
                <c:pt idx="0">
                  <c:v>PIB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Var_pib_Var_pop_Demanda!$A$5:$A$57</c:f>
              <c:numCache>
                <c:formatCode>0</c:formatCode>
                <c:ptCount val="5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</c:v>
                </c:pt>
                <c:pt idx="23">
                  <c:v>2023</c:v>
                </c:pt>
                <c:pt idx="24">
                  <c:v>2024</c:v>
                </c:pt>
                <c:pt idx="25">
                  <c:v>2025</c:v>
                </c:pt>
                <c:pt idx="26">
                  <c:v>2026</c:v>
                </c:pt>
                <c:pt idx="27">
                  <c:v>2027</c:v>
                </c:pt>
                <c:pt idx="28">
                  <c:v>2028</c:v>
                </c:pt>
                <c:pt idx="29">
                  <c:v>2029</c:v>
                </c:pt>
                <c:pt idx="30">
                  <c:v>2030</c:v>
                </c:pt>
                <c:pt idx="31">
                  <c:v>2031</c:v>
                </c:pt>
                <c:pt idx="32">
                  <c:v>2032</c:v>
                </c:pt>
                <c:pt idx="33">
                  <c:v>2033</c:v>
                </c:pt>
                <c:pt idx="34">
                  <c:v>2034</c:v>
                </c:pt>
                <c:pt idx="35">
                  <c:v>2035</c:v>
                </c:pt>
                <c:pt idx="36">
                  <c:v>2036</c:v>
                </c:pt>
                <c:pt idx="37">
                  <c:v>2037</c:v>
                </c:pt>
                <c:pt idx="38">
                  <c:v>2038</c:v>
                </c:pt>
                <c:pt idx="39">
                  <c:v>2039</c:v>
                </c:pt>
                <c:pt idx="40">
                  <c:v>2040</c:v>
                </c:pt>
                <c:pt idx="41">
                  <c:v>2041</c:v>
                </c:pt>
                <c:pt idx="42">
                  <c:v>2042</c:v>
                </c:pt>
                <c:pt idx="43">
                  <c:v>2043</c:v>
                </c:pt>
                <c:pt idx="44">
                  <c:v>2044</c:v>
                </c:pt>
                <c:pt idx="45">
                  <c:v>2045</c:v>
                </c:pt>
                <c:pt idx="46">
                  <c:v>2046</c:v>
                </c:pt>
                <c:pt idx="47">
                  <c:v>2047</c:v>
                </c:pt>
                <c:pt idx="48">
                  <c:v>2048</c:v>
                </c:pt>
                <c:pt idx="49">
                  <c:v>2049</c:v>
                </c:pt>
                <c:pt idx="50">
                  <c:v>2050</c:v>
                </c:pt>
                <c:pt idx="51">
                  <c:v>2051</c:v>
                </c:pt>
              </c:numCache>
            </c:numRef>
          </c:cat>
          <c:val>
            <c:numRef>
              <c:f>Var_pib_Var_pop_Demanda!$B$5:$B$56</c:f>
              <c:numCache>
                <c:formatCode>0.00%</c:formatCode>
                <c:ptCount val="52"/>
                <c:pt idx="0">
                  <c:v>4.3900000000000002E-2</c:v>
                </c:pt>
                <c:pt idx="1">
                  <c:v>1.3899999999999999E-2</c:v>
                </c:pt>
                <c:pt idx="2">
                  <c:v>3.0499999999999999E-2</c:v>
                </c:pt>
                <c:pt idx="3">
                  <c:v>1.14E-2</c:v>
                </c:pt>
                <c:pt idx="4">
                  <c:v>5.7599999999999998E-2</c:v>
                </c:pt>
                <c:pt idx="5">
                  <c:v>3.2000000000000001E-2</c:v>
                </c:pt>
                <c:pt idx="6">
                  <c:v>3.9600000000000003E-2</c:v>
                </c:pt>
                <c:pt idx="7">
                  <c:v>6.0699999999999997E-2</c:v>
                </c:pt>
                <c:pt idx="8">
                  <c:v>5.0900000000000001E-2</c:v>
                </c:pt>
                <c:pt idx="9">
                  <c:v>-1.2999999999999999E-3</c:v>
                </c:pt>
                <c:pt idx="10">
                  <c:v>7.5300000000000006E-2</c:v>
                </c:pt>
                <c:pt idx="11">
                  <c:v>3.9699999999999999E-2</c:v>
                </c:pt>
                <c:pt idx="12">
                  <c:v>1.9199999999999998E-2</c:v>
                </c:pt>
                <c:pt idx="13">
                  <c:v>0.03</c:v>
                </c:pt>
                <c:pt idx="14">
                  <c:v>5.0000000000000001E-3</c:v>
                </c:pt>
                <c:pt idx="15">
                  <c:v>-3.5499999999999997E-2</c:v>
                </c:pt>
                <c:pt idx="16">
                  <c:v>-3.3099999999999997E-2</c:v>
                </c:pt>
                <c:pt idx="17">
                  <c:v>1.06E-2</c:v>
                </c:pt>
                <c:pt idx="18">
                  <c:v>1.12E-2</c:v>
                </c:pt>
                <c:pt idx="19">
                  <c:v>1.14E-2</c:v>
                </c:pt>
                <c:pt idx="20">
                  <c:v>-4.1000000000000002E-2</c:v>
                </c:pt>
                <c:pt idx="21">
                  <c:v>3.3000000000000002E-2</c:v>
                </c:pt>
                <c:pt idx="22">
                  <c:v>2.5000000000000001E-2</c:v>
                </c:pt>
                <c:pt idx="23">
                  <c:v>2.5000000000000001E-2</c:v>
                </c:pt>
                <c:pt idx="24">
                  <c:v>2.5000000000000001E-2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05F-4141-A1CA-DB2A5E19A576}"/>
            </c:ext>
          </c:extLst>
        </c:ser>
        <c:ser>
          <c:idx val="2"/>
          <c:order val="1"/>
          <c:tx>
            <c:strRef>
              <c:f>Var_pib_Var_pop_Demanda!$C$4</c:f>
              <c:strCache>
                <c:ptCount val="1"/>
                <c:pt idx="0">
                  <c:v>População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Var_pib_Var_pop_Demanda!$A$5:$A$57</c:f>
              <c:numCache>
                <c:formatCode>0</c:formatCode>
                <c:ptCount val="5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</c:v>
                </c:pt>
                <c:pt idx="23">
                  <c:v>2023</c:v>
                </c:pt>
                <c:pt idx="24">
                  <c:v>2024</c:v>
                </c:pt>
                <c:pt idx="25">
                  <c:v>2025</c:v>
                </c:pt>
                <c:pt idx="26">
                  <c:v>2026</c:v>
                </c:pt>
                <c:pt idx="27">
                  <c:v>2027</c:v>
                </c:pt>
                <c:pt idx="28">
                  <c:v>2028</c:v>
                </c:pt>
                <c:pt idx="29">
                  <c:v>2029</c:v>
                </c:pt>
                <c:pt idx="30">
                  <c:v>2030</c:v>
                </c:pt>
                <c:pt idx="31">
                  <c:v>2031</c:v>
                </c:pt>
                <c:pt idx="32">
                  <c:v>2032</c:v>
                </c:pt>
                <c:pt idx="33">
                  <c:v>2033</c:v>
                </c:pt>
                <c:pt idx="34">
                  <c:v>2034</c:v>
                </c:pt>
                <c:pt idx="35">
                  <c:v>2035</c:v>
                </c:pt>
                <c:pt idx="36">
                  <c:v>2036</c:v>
                </c:pt>
                <c:pt idx="37">
                  <c:v>2037</c:v>
                </c:pt>
                <c:pt idx="38">
                  <c:v>2038</c:v>
                </c:pt>
                <c:pt idx="39">
                  <c:v>2039</c:v>
                </c:pt>
                <c:pt idx="40">
                  <c:v>2040</c:v>
                </c:pt>
                <c:pt idx="41">
                  <c:v>2041</c:v>
                </c:pt>
                <c:pt idx="42">
                  <c:v>2042</c:v>
                </c:pt>
                <c:pt idx="43">
                  <c:v>2043</c:v>
                </c:pt>
                <c:pt idx="44">
                  <c:v>2044</c:v>
                </c:pt>
                <c:pt idx="45">
                  <c:v>2045</c:v>
                </c:pt>
                <c:pt idx="46">
                  <c:v>2046</c:v>
                </c:pt>
                <c:pt idx="47">
                  <c:v>2047</c:v>
                </c:pt>
                <c:pt idx="48">
                  <c:v>2048</c:v>
                </c:pt>
                <c:pt idx="49">
                  <c:v>2049</c:v>
                </c:pt>
                <c:pt idx="50">
                  <c:v>2050</c:v>
                </c:pt>
                <c:pt idx="51">
                  <c:v>2051</c:v>
                </c:pt>
              </c:numCache>
            </c:numRef>
          </c:cat>
          <c:val>
            <c:numRef>
              <c:f>Var_pib_Var_pop_Demanda!$C$5:$C$56</c:f>
              <c:numCache>
                <c:formatCode>0.00%</c:formatCode>
                <c:ptCount val="52"/>
                <c:pt idx="1">
                  <c:v>1.648164147781388E-2</c:v>
                </c:pt>
                <c:pt idx="2">
                  <c:v>1.303549167667648E-2</c:v>
                </c:pt>
                <c:pt idx="3">
                  <c:v>1.2818181630775772E-2</c:v>
                </c:pt>
                <c:pt idx="4">
                  <c:v>2.6627176665048522E-2</c:v>
                </c:pt>
                <c:pt idx="5">
                  <c:v>1.4336520098047249E-2</c:v>
                </c:pt>
                <c:pt idx="6">
                  <c:v>1.404190533888389E-2</c:v>
                </c:pt>
                <c:pt idx="7">
                  <c:v>-1.4889129048077716E-2</c:v>
                </c:pt>
                <c:pt idx="8">
                  <c:v>3.0562051374709753E-2</c:v>
                </c:pt>
                <c:pt idx="9">
                  <c:v>9.8506844584881278E-3</c:v>
                </c:pt>
                <c:pt idx="10">
                  <c:v>1.7808861397625442E-2</c:v>
                </c:pt>
                <c:pt idx="11">
                  <c:v>8.7897994014921651E-3</c:v>
                </c:pt>
                <c:pt idx="12">
                  <c:v>8.7038123976202041E-3</c:v>
                </c:pt>
                <c:pt idx="13">
                  <c:v>8.5180372749941256E-3</c:v>
                </c:pt>
                <c:pt idx="14">
                  <c:v>8.5665856156972066E-3</c:v>
                </c:pt>
                <c:pt idx="15">
                  <c:v>8.7158607589807972E-3</c:v>
                </c:pt>
                <c:pt idx="16">
                  <c:v>8.2609576496666687E-3</c:v>
                </c:pt>
                <c:pt idx="17">
                  <c:v>8.0336392026252607E-3</c:v>
                </c:pt>
                <c:pt idx="18">
                  <c:v>8.1727284965870291E-3</c:v>
                </c:pt>
                <c:pt idx="19">
                  <c:v>7.9245343651091708E-3</c:v>
                </c:pt>
                <c:pt idx="20">
                  <c:v>7.6544801647893115E-3</c:v>
                </c:pt>
                <c:pt idx="21">
                  <c:v>7.3761748043117536E-3</c:v>
                </c:pt>
                <c:pt idx="22">
                  <c:v>7.0828695042888601E-3</c:v>
                </c:pt>
                <c:pt idx="23">
                  <c:v>6.7762365279771487E-3</c:v>
                </c:pt>
                <c:pt idx="24">
                  <c:v>6.4738550171672448E-3</c:v>
                </c:pt>
                <c:pt idx="25">
                  <c:v>6.1769727965241723E-3</c:v>
                </c:pt>
                <c:pt idx="26">
                  <c:v>5.8779269108328001E-3</c:v>
                </c:pt>
                <c:pt idx="27">
                  <c:v>5.5769941547281991E-3</c:v>
                </c:pt>
                <c:pt idx="28">
                  <c:v>5.2740245362263129E-3</c:v>
                </c:pt>
                <c:pt idx="29">
                  <c:v>4.9733633547207196E-3</c:v>
                </c:pt>
                <c:pt idx="30">
                  <c:v>4.6785403203685192E-3</c:v>
                </c:pt>
                <c:pt idx="31">
                  <c:v>4.3845766152836498E-3</c:v>
                </c:pt>
                <c:pt idx="32">
                  <c:v>4.0884168680076502E-3</c:v>
                </c:pt>
                <c:pt idx="33">
                  <c:v>3.7956933721405412E-3</c:v>
                </c:pt>
                <c:pt idx="34">
                  <c:v>3.5079334816271765E-3</c:v>
                </c:pt>
                <c:pt idx="35">
                  <c:v>3.2243577293886586E-3</c:v>
                </c:pt>
                <c:pt idx="36">
                  <c:v>2.941642274504597E-3</c:v>
                </c:pt>
                <c:pt idx="37">
                  <c:v>2.6592811195191085E-3</c:v>
                </c:pt>
                <c:pt idx="38">
                  <c:v>2.381373052711635E-3</c:v>
                </c:pt>
                <c:pt idx="39">
                  <c:v>2.1071965985089746E-3</c:v>
                </c:pt>
                <c:pt idx="40">
                  <c:v>1.8370705327315339E-3</c:v>
                </c:pt>
                <c:pt idx="41">
                  <c:v>1.5708482344177401E-3</c:v>
                </c:pt>
                <c:pt idx="42">
                  <c:v>1.3102352926382223E-3</c:v>
                </c:pt>
                <c:pt idx="43">
                  <c:v>1.055447348274795E-3</c:v>
                </c:pt>
                <c:pt idx="44">
                  <c:v>8.0285073406247489E-4</c:v>
                </c:pt>
                <c:pt idx="45">
                  <c:v>5.5200605184950804E-4</c:v>
                </c:pt>
                <c:pt idx="46">
                  <c:v>3.0294708816280532E-4</c:v>
                </c:pt>
                <c:pt idx="47">
                  <c:v>5.7512156844934787E-5</c:v>
                </c:pt>
                <c:pt idx="48">
                  <c:v>-1.8517052019118851E-4</c:v>
                </c:pt>
                <c:pt idx="49">
                  <c:v>-4.2891115941859066E-4</c:v>
                </c:pt>
                <c:pt idx="50">
                  <c:v>-6.7436478225037981E-4</c:v>
                </c:pt>
                <c:pt idx="51">
                  <c:v>-9.1917738709002656E-4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05F-4141-A1CA-DB2A5E19A576}"/>
            </c:ext>
          </c:extLst>
        </c:ser>
        <c:ser>
          <c:idx val="3"/>
          <c:order val="2"/>
          <c:tx>
            <c:strRef>
              <c:f>Var_pib_Var_pop_Demanda!$D$4</c:f>
              <c:strCache>
                <c:ptCount val="1"/>
                <c:pt idx="0">
                  <c:v>Demanda Passageiros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Var_pib_Var_pop_Demanda!$A$5:$A$57</c:f>
              <c:numCache>
                <c:formatCode>0</c:formatCode>
                <c:ptCount val="5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</c:v>
                </c:pt>
                <c:pt idx="23">
                  <c:v>2023</c:v>
                </c:pt>
                <c:pt idx="24">
                  <c:v>2024</c:v>
                </c:pt>
                <c:pt idx="25">
                  <c:v>2025</c:v>
                </c:pt>
                <c:pt idx="26">
                  <c:v>2026</c:v>
                </c:pt>
                <c:pt idx="27">
                  <c:v>2027</c:v>
                </c:pt>
                <c:pt idx="28">
                  <c:v>2028</c:v>
                </c:pt>
                <c:pt idx="29">
                  <c:v>2029</c:v>
                </c:pt>
                <c:pt idx="30">
                  <c:v>2030</c:v>
                </c:pt>
                <c:pt idx="31">
                  <c:v>2031</c:v>
                </c:pt>
                <c:pt idx="32">
                  <c:v>2032</c:v>
                </c:pt>
                <c:pt idx="33">
                  <c:v>2033</c:v>
                </c:pt>
                <c:pt idx="34">
                  <c:v>2034</c:v>
                </c:pt>
                <c:pt idx="35">
                  <c:v>2035</c:v>
                </c:pt>
                <c:pt idx="36">
                  <c:v>2036</c:v>
                </c:pt>
                <c:pt idx="37">
                  <c:v>2037</c:v>
                </c:pt>
                <c:pt idx="38">
                  <c:v>2038</c:v>
                </c:pt>
                <c:pt idx="39">
                  <c:v>2039</c:v>
                </c:pt>
                <c:pt idx="40">
                  <c:v>2040</c:v>
                </c:pt>
                <c:pt idx="41">
                  <c:v>2041</c:v>
                </c:pt>
                <c:pt idx="42">
                  <c:v>2042</c:v>
                </c:pt>
                <c:pt idx="43">
                  <c:v>2043</c:v>
                </c:pt>
                <c:pt idx="44">
                  <c:v>2044</c:v>
                </c:pt>
                <c:pt idx="45">
                  <c:v>2045</c:v>
                </c:pt>
                <c:pt idx="46">
                  <c:v>2046</c:v>
                </c:pt>
                <c:pt idx="47">
                  <c:v>2047</c:v>
                </c:pt>
                <c:pt idx="48">
                  <c:v>2048</c:v>
                </c:pt>
                <c:pt idx="49">
                  <c:v>2049</c:v>
                </c:pt>
                <c:pt idx="50">
                  <c:v>2050</c:v>
                </c:pt>
                <c:pt idx="51">
                  <c:v>2051</c:v>
                </c:pt>
              </c:numCache>
            </c:numRef>
          </c:cat>
          <c:val>
            <c:numRef>
              <c:f>Var_pib_Var_pop_Demanda!$D$5:$D$56</c:f>
              <c:numCache>
                <c:formatCode>0.00%</c:formatCode>
                <c:ptCount val="52"/>
                <c:pt idx="13">
                  <c:v>-3.0665986835953066E-2</c:v>
                </c:pt>
                <c:pt idx="14">
                  <c:v>-1.8549940704886095E-2</c:v>
                </c:pt>
                <c:pt idx="15">
                  <c:v>-6.3606443375281665E-2</c:v>
                </c:pt>
                <c:pt idx="16">
                  <c:v>-0.11175068516582151</c:v>
                </c:pt>
                <c:pt idx="17">
                  <c:v>-2.9043759478785059E-2</c:v>
                </c:pt>
                <c:pt idx="18">
                  <c:v>4.3069566017946599E-2</c:v>
                </c:pt>
                <c:pt idx="19">
                  <c:v>2.9449555331707903E-2</c:v>
                </c:pt>
                <c:pt idx="20">
                  <c:v>-0.53701017665870165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05F-4141-A1CA-DB2A5E19A5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9285936"/>
        <c:axId val="909311728"/>
      </c:lineChart>
      <c:catAx>
        <c:axId val="909285936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909311728"/>
        <c:crosses val="autoZero"/>
        <c:auto val="1"/>
        <c:lblAlgn val="ctr"/>
        <c:lblOffset val="100"/>
        <c:noMultiLvlLbl val="0"/>
      </c:catAx>
      <c:valAx>
        <c:axId val="909311728"/>
        <c:scaling>
          <c:orientation val="minMax"/>
          <c:max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909285936"/>
        <c:crosses val="autoZero"/>
        <c:crossBetween val="between"/>
        <c:majorUnit val="5.000000000000001E-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Emb_Desemb_Conc_CP_CI_CO!$C$4</c:f>
              <c:strCache>
                <c:ptCount val="1"/>
                <c:pt idx="0">
                  <c:v>Cenário Pessimista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Emb_Desemb_Conc_CP_CI_CO!$B$5:$B$35</c:f>
              <c:numCache>
                <c:formatCode>0</c:formatCode>
                <c:ptCount val="31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  <c:pt idx="4">
                  <c:v>2025</c:v>
                </c:pt>
                <c:pt idx="5">
                  <c:v>2026</c:v>
                </c:pt>
                <c:pt idx="6">
                  <c:v>2027</c:v>
                </c:pt>
                <c:pt idx="7">
                  <c:v>2028</c:v>
                </c:pt>
                <c:pt idx="8">
                  <c:v>2029</c:v>
                </c:pt>
                <c:pt idx="9">
                  <c:v>2030</c:v>
                </c:pt>
                <c:pt idx="10">
                  <c:v>2031</c:v>
                </c:pt>
                <c:pt idx="11">
                  <c:v>2032</c:v>
                </c:pt>
                <c:pt idx="12">
                  <c:v>2033</c:v>
                </c:pt>
                <c:pt idx="13">
                  <c:v>2034</c:v>
                </c:pt>
                <c:pt idx="14">
                  <c:v>2035</c:v>
                </c:pt>
                <c:pt idx="15">
                  <c:v>2036</c:v>
                </c:pt>
                <c:pt idx="16">
                  <c:v>2037</c:v>
                </c:pt>
                <c:pt idx="17">
                  <c:v>2038</c:v>
                </c:pt>
                <c:pt idx="18">
                  <c:v>2039</c:v>
                </c:pt>
                <c:pt idx="19">
                  <c:v>2040</c:v>
                </c:pt>
                <c:pt idx="20">
                  <c:v>2041</c:v>
                </c:pt>
                <c:pt idx="21">
                  <c:v>2042</c:v>
                </c:pt>
                <c:pt idx="22">
                  <c:v>2043</c:v>
                </c:pt>
                <c:pt idx="23">
                  <c:v>2044</c:v>
                </c:pt>
                <c:pt idx="24">
                  <c:v>2045</c:v>
                </c:pt>
                <c:pt idx="25">
                  <c:v>2046</c:v>
                </c:pt>
                <c:pt idx="26">
                  <c:v>2047</c:v>
                </c:pt>
                <c:pt idx="27">
                  <c:v>2048</c:v>
                </c:pt>
                <c:pt idx="28">
                  <c:v>2049</c:v>
                </c:pt>
                <c:pt idx="29">
                  <c:v>2050</c:v>
                </c:pt>
                <c:pt idx="30">
                  <c:v>2051</c:v>
                </c:pt>
              </c:numCache>
            </c:numRef>
          </c:cat>
          <c:val>
            <c:numRef>
              <c:f>Emb_Desemb_Conc_CP_CI_CO!$C$5:$C$35</c:f>
              <c:numCache>
                <c:formatCode>#,##0</c:formatCode>
                <c:ptCount val="31"/>
                <c:pt idx="0">
                  <c:v>3990663</c:v>
                </c:pt>
                <c:pt idx="1">
                  <c:v>4190196.1500000004</c:v>
                </c:pt>
                <c:pt idx="2">
                  <c:v>4504460.8612500001</c:v>
                </c:pt>
                <c:pt idx="3">
                  <c:v>4954906.9473749995</c:v>
                </c:pt>
                <c:pt idx="4">
                  <c:v>5574270.3157968745</c:v>
                </c:pt>
                <c:pt idx="5">
                  <c:v>6410410.8631664068</c:v>
                </c:pt>
                <c:pt idx="6">
                  <c:v>7532232.7642205274</c:v>
                </c:pt>
                <c:pt idx="7">
                  <c:v>9038679.3170646317</c:v>
                </c:pt>
                <c:pt idx="8">
                  <c:v>9174259.5068206023</c:v>
                </c:pt>
                <c:pt idx="9">
                  <c:v>9311873.3994229119</c:v>
                </c:pt>
                <c:pt idx="10">
                  <c:v>9451551.500414256</c:v>
                </c:pt>
                <c:pt idx="11">
                  <c:v>9593324.7729204707</c:v>
                </c:pt>
                <c:pt idx="12">
                  <c:v>9737224.6445142776</c:v>
                </c:pt>
                <c:pt idx="13">
                  <c:v>9883283.0141819902</c:v>
                </c:pt>
                <c:pt idx="14">
                  <c:v>10031532.25939472</c:v>
                </c:pt>
                <c:pt idx="15">
                  <c:v>10182005.243285641</c:v>
                </c:pt>
                <c:pt idx="16">
                  <c:v>10334735.321934927</c:v>
                </c:pt>
                <c:pt idx="17">
                  <c:v>10489756.351763951</c:v>
                </c:pt>
                <c:pt idx="18">
                  <c:v>10511860.330667574</c:v>
                </c:pt>
                <c:pt idx="19">
                  <c:v>10531171.359525234</c:v>
                </c:pt>
                <c:pt idx="20">
                  <c:v>10547714.231461694</c:v>
                </c:pt>
                <c:pt idx="21">
                  <c:v>10561534.218904417</c:v>
                </c:pt>
                <c:pt idx="22">
                  <c:v>10572681.362189474</c:v>
                </c:pt>
                <c:pt idx="23">
                  <c:v>10581169.647182116</c:v>
                </c:pt>
                <c:pt idx="24">
                  <c:v>10587010.516863007</c:v>
                </c:pt>
                <c:pt idx="25">
                  <c:v>10590217.820871439</c:v>
                </c:pt>
                <c:pt idx="26">
                  <c:v>10590826.887139775</c:v>
                </c:pt>
                <c:pt idx="27">
                  <c:v>10588865.778215829</c:v>
                </c:pt>
                <c:pt idx="28">
                  <c:v>10584324.095517967</c:v>
                </c:pt>
                <c:pt idx="29">
                  <c:v>10577186.400104025</c:v>
                </c:pt>
                <c:pt idx="30">
                  <c:v>10567464.089546014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B14-4FCF-A102-8660FC58A45D}"/>
            </c:ext>
          </c:extLst>
        </c:ser>
        <c:ser>
          <c:idx val="2"/>
          <c:order val="1"/>
          <c:tx>
            <c:strRef>
              <c:f>Emb_Desemb_Conc_CP_CI_CO!$D$4</c:f>
              <c:strCache>
                <c:ptCount val="1"/>
                <c:pt idx="0">
                  <c:v>Cenário Intermediário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Emb_Desemb_Conc_CP_CI_CO!$B$5:$B$35</c:f>
              <c:numCache>
                <c:formatCode>0</c:formatCode>
                <c:ptCount val="31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  <c:pt idx="4">
                  <c:v>2025</c:v>
                </c:pt>
                <c:pt idx="5">
                  <c:v>2026</c:v>
                </c:pt>
                <c:pt idx="6">
                  <c:v>2027</c:v>
                </c:pt>
                <c:pt idx="7">
                  <c:v>2028</c:v>
                </c:pt>
                <c:pt idx="8">
                  <c:v>2029</c:v>
                </c:pt>
                <c:pt idx="9">
                  <c:v>2030</c:v>
                </c:pt>
                <c:pt idx="10">
                  <c:v>2031</c:v>
                </c:pt>
                <c:pt idx="11">
                  <c:v>2032</c:v>
                </c:pt>
                <c:pt idx="12">
                  <c:v>2033</c:v>
                </c:pt>
                <c:pt idx="13">
                  <c:v>2034</c:v>
                </c:pt>
                <c:pt idx="14">
                  <c:v>2035</c:v>
                </c:pt>
                <c:pt idx="15">
                  <c:v>2036</c:v>
                </c:pt>
                <c:pt idx="16">
                  <c:v>2037</c:v>
                </c:pt>
                <c:pt idx="17">
                  <c:v>2038</c:v>
                </c:pt>
                <c:pt idx="18">
                  <c:v>2039</c:v>
                </c:pt>
                <c:pt idx="19">
                  <c:v>2040</c:v>
                </c:pt>
                <c:pt idx="20">
                  <c:v>2041</c:v>
                </c:pt>
                <c:pt idx="21">
                  <c:v>2042</c:v>
                </c:pt>
                <c:pt idx="22">
                  <c:v>2043</c:v>
                </c:pt>
                <c:pt idx="23">
                  <c:v>2044</c:v>
                </c:pt>
                <c:pt idx="24">
                  <c:v>2045</c:v>
                </c:pt>
                <c:pt idx="25">
                  <c:v>2046</c:v>
                </c:pt>
                <c:pt idx="26">
                  <c:v>2047</c:v>
                </c:pt>
                <c:pt idx="27">
                  <c:v>2048</c:v>
                </c:pt>
                <c:pt idx="28">
                  <c:v>2049</c:v>
                </c:pt>
                <c:pt idx="29">
                  <c:v>2050</c:v>
                </c:pt>
                <c:pt idx="30">
                  <c:v>2051</c:v>
                </c:pt>
              </c:numCache>
            </c:numRef>
          </c:cat>
          <c:val>
            <c:numRef>
              <c:f>Emb_Desemb_Conc_CP_CI_CO!$D$5:$D$35</c:f>
              <c:numCache>
                <c:formatCode>#,##0</c:formatCode>
                <c:ptCount val="31"/>
                <c:pt idx="0">
                  <c:v>4190196.1500000004</c:v>
                </c:pt>
                <c:pt idx="1">
                  <c:v>4609215.7650000006</c:v>
                </c:pt>
                <c:pt idx="2">
                  <c:v>5300598.1297500003</c:v>
                </c:pt>
                <c:pt idx="3">
                  <c:v>6095687.8492125003</c:v>
                </c:pt>
                <c:pt idx="4">
                  <c:v>7314825.4190549999</c:v>
                </c:pt>
                <c:pt idx="5">
                  <c:v>8777790.5028659999</c:v>
                </c:pt>
                <c:pt idx="6">
                  <c:v>8988457.4749347866</c:v>
                </c:pt>
                <c:pt idx="7">
                  <c:v>9204180.4543332197</c:v>
                </c:pt>
                <c:pt idx="8">
                  <c:v>9425080.7852372155</c:v>
                </c:pt>
                <c:pt idx="9">
                  <c:v>9651282.7240829095</c:v>
                </c:pt>
                <c:pt idx="10">
                  <c:v>9882913.5094609</c:v>
                </c:pt>
                <c:pt idx="11">
                  <c:v>10120103.433687959</c:v>
                </c:pt>
                <c:pt idx="12">
                  <c:v>10362985.916096471</c:v>
                </c:pt>
                <c:pt idx="13">
                  <c:v>10611697.578082785</c:v>
                </c:pt>
                <c:pt idx="14">
                  <c:v>10866378.319956772</c:v>
                </c:pt>
                <c:pt idx="15">
                  <c:v>11127171.399635736</c:v>
                </c:pt>
                <c:pt idx="16">
                  <c:v>11156761.676452439</c:v>
                </c:pt>
                <c:pt idx="17">
                  <c:v>11183330.088064268</c:v>
                </c:pt>
                <c:pt idx="18">
                  <c:v>11206895.563185841</c:v>
                </c:pt>
                <c:pt idx="19">
                  <c:v>11227483.42078837</c:v>
                </c:pt>
                <c:pt idx="20">
                  <c:v>11245120.093296871</c:v>
                </c:pt>
                <c:pt idx="21">
                  <c:v>11259853.846513063</c:v>
                </c:pt>
                <c:pt idx="22">
                  <c:v>11271738.029397327</c:v>
                </c:pt>
                <c:pt idx="23">
                  <c:v>11280787.552548388</c:v>
                </c:pt>
                <c:pt idx="24">
                  <c:v>11287014.615547024</c:v>
                </c:pt>
                <c:pt idx="25">
                  <c:v>11290433.983758856</c:v>
                </c:pt>
                <c:pt idx="26">
                  <c:v>11291083.320968976</c:v>
                </c:pt>
                <c:pt idx="27">
                  <c:v>11288992.545196909</c:v>
                </c:pt>
                <c:pt idx="28">
                  <c:v>11284150.570315681</c:v>
                </c:pt>
                <c:pt idx="29">
                  <c:v>11276540.936573451</c:v>
                </c:pt>
                <c:pt idx="30">
                  <c:v>11266175.795139957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1B14-4FCF-A102-8660FC58A45D}"/>
            </c:ext>
          </c:extLst>
        </c:ser>
        <c:ser>
          <c:idx val="3"/>
          <c:order val="2"/>
          <c:tx>
            <c:strRef>
              <c:f>Emb_Desemb_Conc_CP_CI_CO!$E$4</c:f>
              <c:strCache>
                <c:ptCount val="1"/>
                <c:pt idx="0">
                  <c:v>Cenário Otimista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Emb_Desemb_Conc_CP_CI_CO!$B$5:$B$35</c:f>
              <c:numCache>
                <c:formatCode>0</c:formatCode>
                <c:ptCount val="31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  <c:pt idx="4">
                  <c:v>2025</c:v>
                </c:pt>
                <c:pt idx="5">
                  <c:v>2026</c:v>
                </c:pt>
                <c:pt idx="6">
                  <c:v>2027</c:v>
                </c:pt>
                <c:pt idx="7">
                  <c:v>2028</c:v>
                </c:pt>
                <c:pt idx="8">
                  <c:v>2029</c:v>
                </c:pt>
                <c:pt idx="9">
                  <c:v>2030</c:v>
                </c:pt>
                <c:pt idx="10">
                  <c:v>2031</c:v>
                </c:pt>
                <c:pt idx="11">
                  <c:v>2032</c:v>
                </c:pt>
                <c:pt idx="12">
                  <c:v>2033</c:v>
                </c:pt>
                <c:pt idx="13">
                  <c:v>2034</c:v>
                </c:pt>
                <c:pt idx="14">
                  <c:v>2035</c:v>
                </c:pt>
                <c:pt idx="15">
                  <c:v>2036</c:v>
                </c:pt>
                <c:pt idx="16">
                  <c:v>2037</c:v>
                </c:pt>
                <c:pt idx="17">
                  <c:v>2038</c:v>
                </c:pt>
                <c:pt idx="18">
                  <c:v>2039</c:v>
                </c:pt>
                <c:pt idx="19">
                  <c:v>2040</c:v>
                </c:pt>
                <c:pt idx="20">
                  <c:v>2041</c:v>
                </c:pt>
                <c:pt idx="21">
                  <c:v>2042</c:v>
                </c:pt>
                <c:pt idx="22">
                  <c:v>2043</c:v>
                </c:pt>
                <c:pt idx="23">
                  <c:v>2044</c:v>
                </c:pt>
                <c:pt idx="24">
                  <c:v>2045</c:v>
                </c:pt>
                <c:pt idx="25">
                  <c:v>2046</c:v>
                </c:pt>
                <c:pt idx="26">
                  <c:v>2047</c:v>
                </c:pt>
                <c:pt idx="27">
                  <c:v>2048</c:v>
                </c:pt>
                <c:pt idx="28">
                  <c:v>2049</c:v>
                </c:pt>
                <c:pt idx="29">
                  <c:v>2050</c:v>
                </c:pt>
                <c:pt idx="30">
                  <c:v>2051</c:v>
                </c:pt>
              </c:numCache>
            </c:numRef>
          </c:cat>
          <c:val>
            <c:numRef>
              <c:f>Emb_Desemb_Conc_CP_CI_CO!$E$5:$E$35</c:f>
              <c:numCache>
                <c:formatCode>#,##0</c:formatCode>
                <c:ptCount val="31"/>
                <c:pt idx="0">
                  <c:v>4389729.3</c:v>
                </c:pt>
                <c:pt idx="1">
                  <c:v>5267675.16</c:v>
                </c:pt>
                <c:pt idx="2">
                  <c:v>6847977.7079999996</c:v>
                </c:pt>
                <c:pt idx="3">
                  <c:v>8902371.0203999989</c:v>
                </c:pt>
                <c:pt idx="4">
                  <c:v>9169442.1510119997</c:v>
                </c:pt>
                <c:pt idx="5">
                  <c:v>9444525.4155423604</c:v>
                </c:pt>
                <c:pt idx="6">
                  <c:v>9727861.1780086309</c:v>
                </c:pt>
                <c:pt idx="7">
                  <c:v>10019697.01334889</c:v>
                </c:pt>
                <c:pt idx="8">
                  <c:v>10320287.923749357</c:v>
                </c:pt>
                <c:pt idx="9">
                  <c:v>10629896.561461836</c:v>
                </c:pt>
                <c:pt idx="10">
                  <c:v>10948793.458305692</c:v>
                </c:pt>
                <c:pt idx="11">
                  <c:v>11277257.262054864</c:v>
                </c:pt>
                <c:pt idx="12">
                  <c:v>11615574.979916509</c:v>
                </c:pt>
                <c:pt idx="13">
                  <c:v>11964042.229314003</c:v>
                </c:pt>
                <c:pt idx="14">
                  <c:v>12002618.581350826</c:v>
                </c:pt>
                <c:pt idx="15">
                  <c:v>12037925.991574481</c:v>
                </c:pt>
                <c:pt idx="16">
                  <c:v>12069938.220882043</c:v>
                </c:pt>
                <c:pt idx="17">
                  <c:v>12098681.246509146</c:v>
                </c:pt>
                <c:pt idx="18">
                  <c:v>12124175.546478234</c:v>
                </c:pt>
                <c:pt idx="19">
                  <c:v>12146448.512108333</c:v>
                </c:pt>
                <c:pt idx="20">
                  <c:v>12165528.739308026</c:v>
                </c:pt>
                <c:pt idx="21">
                  <c:v>12181468.444415871</c:v>
                </c:pt>
                <c:pt idx="22">
                  <c:v>12194325.342983622</c:v>
                </c:pt>
                <c:pt idx="23">
                  <c:v>12204115.566036634</c:v>
                </c:pt>
                <c:pt idx="24">
                  <c:v>12210852.311686557</c:v>
                </c:pt>
                <c:pt idx="25">
                  <c:v>12214551.553838369</c:v>
                </c:pt>
                <c:pt idx="26">
                  <c:v>12215254.039043125</c:v>
                </c:pt>
                <c:pt idx="27">
                  <c:v>12212992.134098448</c:v>
                </c:pt>
                <c:pt idx="28">
                  <c:v>12207753.845482241</c:v>
                </c:pt>
                <c:pt idx="29">
                  <c:v>12199521.366218466</c:v>
                </c:pt>
                <c:pt idx="30">
                  <c:v>12188307.842045315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1B14-4FCF-A102-8660FC58A4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4297168"/>
        <c:axId val="444288432"/>
      </c:lineChart>
      <c:catAx>
        <c:axId val="444297168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4288432"/>
        <c:crosses val="autoZero"/>
        <c:auto val="1"/>
        <c:lblAlgn val="ctr"/>
        <c:lblOffset val="100"/>
        <c:noMultiLvlLbl val="0"/>
      </c:catAx>
      <c:valAx>
        <c:axId val="444288432"/>
        <c:scaling>
          <c:orientation val="minMax"/>
          <c:max val="125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4297168"/>
        <c:crosses val="autoZero"/>
        <c:crossBetween val="between"/>
        <c:majorUnit val="500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78046101706562"/>
          <c:y val="2.1632251720747297E-2"/>
          <c:w val="0.87576250013841273"/>
          <c:h val="0.88776128647635855"/>
        </c:manualLayout>
      </c:layout>
      <c:lineChart>
        <c:grouping val="standard"/>
        <c:varyColors val="0"/>
        <c:ser>
          <c:idx val="1"/>
          <c:order val="0"/>
          <c:tx>
            <c:strRef>
              <c:f>'Gráfico PIB'!$B$3</c:f>
              <c:strCache>
                <c:ptCount val="1"/>
                <c:pt idx="0">
                  <c:v>PIB Observado</c:v>
                </c:pt>
              </c:strCache>
            </c:strRef>
          </c:tx>
          <c:spPr>
            <a:ln w="5080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layout>
                <c:manualLayout>
                  <c:x val="-4.0696616090487636E-2"/>
                  <c:y val="-2.81710140214774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05-41E7-AA65-57B1D961F39C}"/>
                </c:ext>
              </c:extLst>
            </c:dLbl>
            <c:dLbl>
              <c:idx val="5"/>
              <c:layout>
                <c:manualLayout>
                  <c:x val="-2.3611024728780468E-2"/>
                  <c:y val="1.31269210817674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05-41E7-AA65-57B1D961F3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B05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'Gráfico PIB'!$A$4:$A$13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'Gráfico PIB'!$B$4:$B$13</c:f>
              <c:numCache>
                <c:formatCode>0.00</c:formatCode>
                <c:ptCount val="10"/>
                <c:pt idx="0">
                  <c:v>-3.55</c:v>
                </c:pt>
                <c:pt idx="1">
                  <c:v>-3.31</c:v>
                </c:pt>
                <c:pt idx="2">
                  <c:v>1.06</c:v>
                </c:pt>
                <c:pt idx="3">
                  <c:v>1.1200000000000001</c:v>
                </c:pt>
                <c:pt idx="4">
                  <c:v>1.1399999999999999</c:v>
                </c:pt>
                <c:pt idx="5">
                  <c:v>-4.0999999999999996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A05-41E7-AA65-57B1D961F39C}"/>
            </c:ext>
          </c:extLst>
        </c:ser>
        <c:ser>
          <c:idx val="0"/>
          <c:order val="1"/>
          <c:tx>
            <c:strRef>
              <c:f>'Gráfico PIB'!$C$3</c:f>
              <c:strCache>
                <c:ptCount val="1"/>
                <c:pt idx="0">
                  <c:v>PIB Pré pandemia (14/02/20)</c:v>
                </c:pt>
              </c:strCache>
            </c:strRef>
          </c:tx>
          <c:spPr>
            <a:ln w="5080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2.1130354162266343E-2"/>
                  <c:y val="-6.35692441099729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05-41E7-AA65-57B1D961F39C}"/>
                </c:ext>
              </c:extLst>
            </c:dLbl>
            <c:dLbl>
              <c:idx val="6"/>
              <c:layout>
                <c:manualLayout>
                  <c:x val="-5.1424421922831698E-2"/>
                  <c:y val="-2.62044456832276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05-41E7-AA65-57B1D961F3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B0F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'Gráfico PIB'!$C$4:$C$13</c:f>
              <c:numCache>
                <c:formatCode>0.00</c:formatCode>
                <c:ptCount val="10"/>
                <c:pt idx="4">
                  <c:v>1.1399999999999999</c:v>
                </c:pt>
                <c:pt idx="5">
                  <c:v>2.2000000000000002</c:v>
                </c:pt>
                <c:pt idx="6">
                  <c:v>2.5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A05-41E7-AA65-57B1D961F39C}"/>
            </c:ext>
          </c:extLst>
        </c:ser>
        <c:ser>
          <c:idx val="2"/>
          <c:order val="2"/>
          <c:tx>
            <c:strRef>
              <c:f>'Gráfico PIB'!$D$3</c:f>
              <c:strCache>
                <c:ptCount val="1"/>
                <c:pt idx="0">
                  <c:v>PIB Pior momento (30/06/20)</c:v>
                </c:pt>
              </c:strCache>
            </c:strRef>
          </c:tx>
          <c:spPr>
            <a:ln w="508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2.1196067975196083E-2"/>
                  <c:y val="-9.30677691837192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A05-41E7-AA65-57B1D961F39C}"/>
                </c:ext>
              </c:extLst>
            </c:dLbl>
            <c:dLbl>
              <c:idx val="5"/>
              <c:layout>
                <c:manualLayout>
                  <c:x val="-5.1210826159230567E-2"/>
                  <c:y val="-6.3905728598084529E-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05-41E7-AA65-57B1D961F39C}"/>
                </c:ext>
              </c:extLst>
            </c:dLbl>
            <c:dLbl>
              <c:idx val="6"/>
              <c:layout>
                <c:manualLayout>
                  <c:x val="-4.4853040629867412E-2"/>
                  <c:y val="-2.22713090067281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A05-41E7-AA65-57B1D961F39C}"/>
                </c:ext>
              </c:extLst>
            </c:dLbl>
            <c:dLbl>
              <c:idx val="7"/>
              <c:layout>
                <c:manualLayout>
                  <c:x val="-2.1196067975195985E-2"/>
                  <c:y val="-5.57029707569739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A05-41E7-AA65-57B1D961F39C}"/>
                </c:ext>
              </c:extLst>
            </c:dLbl>
            <c:dLbl>
              <c:idx val="8"/>
              <c:layout>
                <c:manualLayout>
                  <c:x val="-2.1196067975196176E-2"/>
                  <c:y val="-5.96361074334734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A05-41E7-AA65-57B1D961F39C}"/>
                </c:ext>
              </c:extLst>
            </c:dLbl>
            <c:dLbl>
              <c:idx val="9"/>
              <c:layout>
                <c:manualLayout>
                  <c:x val="-2.2510344233788841E-2"/>
                  <c:y val="-5.57029707569739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A05-41E7-AA65-57B1D961F3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'Gráfico PIB'!$D$4:$D$13</c:f>
              <c:numCache>
                <c:formatCode>0.00</c:formatCode>
                <c:ptCount val="10"/>
                <c:pt idx="4">
                  <c:v>1.1399999999999999</c:v>
                </c:pt>
                <c:pt idx="5">
                  <c:v>-6.6</c:v>
                </c:pt>
                <c:pt idx="6">
                  <c:v>3.5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8A05-41E7-AA65-57B1D961F39C}"/>
            </c:ext>
          </c:extLst>
        </c:ser>
        <c:ser>
          <c:idx val="3"/>
          <c:order val="3"/>
          <c:tx>
            <c:strRef>
              <c:f>'Gráfico PIB'!$E$3</c:f>
              <c:strCache>
                <c:ptCount val="1"/>
                <c:pt idx="0">
                  <c:v>PIB Mais recente (05/03/21)</c:v>
                </c:pt>
              </c:strCache>
            </c:strRef>
          </c:tx>
          <c:spPr>
            <a:ln w="50800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2.4925300987373323E-2"/>
                  <c:y val="4.06588778172639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A05-41E7-AA65-57B1D961F39C}"/>
                </c:ext>
              </c:extLst>
            </c:dLbl>
            <c:dLbl>
              <c:idx val="6"/>
              <c:layout>
                <c:manualLayout>
                  <c:x val="7.7180097138468727E-3"/>
                  <c:y val="-3.99704240509759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A05-41E7-AA65-57B1D961F39C}"/>
                </c:ext>
              </c:extLst>
            </c:dLbl>
            <c:dLbl>
              <c:idx val="7"/>
              <c:layout>
                <c:manualLayout>
                  <c:x val="-2.1196067975195985E-2"/>
                  <c:y val="-8.91346325072197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A05-41E7-AA65-57B1D961F39C}"/>
                </c:ext>
              </c:extLst>
            </c:dLbl>
            <c:dLbl>
              <c:idx val="8"/>
              <c:layout>
                <c:manualLayout>
                  <c:x val="-2.1196067975196176E-2"/>
                  <c:y val="-8.91346325072197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A05-41E7-AA65-57B1D961F39C}"/>
                </c:ext>
              </c:extLst>
            </c:dLbl>
            <c:dLbl>
              <c:idx val="9"/>
              <c:layout>
                <c:manualLayout>
                  <c:x val="-2.3824620492381699E-2"/>
                  <c:y val="-8.71680641689700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A05-41E7-AA65-57B1D961F3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FFC00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'Gráfico PIB'!$E$4:$E$13</c:f>
              <c:numCache>
                <c:formatCode>0.00</c:formatCode>
                <c:ptCount val="10"/>
                <c:pt idx="5">
                  <c:v>-4.0999999999999996</c:v>
                </c:pt>
                <c:pt idx="6">
                  <c:v>3.3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8A05-41E7-AA65-57B1D961F3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7454768"/>
        <c:axId val="1877459344"/>
      </c:lineChart>
      <c:catAx>
        <c:axId val="187745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877459344"/>
        <c:crosses val="autoZero"/>
        <c:auto val="1"/>
        <c:lblAlgn val="ctr"/>
        <c:lblOffset val="100"/>
        <c:noMultiLvlLbl val="0"/>
      </c:catAx>
      <c:valAx>
        <c:axId val="1877459344"/>
        <c:scaling>
          <c:orientation val="minMax"/>
          <c:max val="4"/>
          <c:min val="-7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 sz="1200"/>
                  <a:t>Taxa Anual do PIB</a:t>
                </a:r>
              </a:p>
            </c:rich>
          </c:tx>
          <c:layout>
            <c:manualLayout>
              <c:xMode val="edge"/>
              <c:yMode val="edge"/>
              <c:x val="3.3901704347242968E-2"/>
              <c:y val="0.4132218428448656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877454768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56</xdr:col>
      <xdr:colOff>180974</xdr:colOff>
      <xdr:row>74</xdr:row>
      <xdr:rowOff>76199</xdr:rowOff>
    </xdr:from>
    <xdr:to>
      <xdr:col>69</xdr:col>
      <xdr:colOff>504824</xdr:colOff>
      <xdr:row>107</xdr:row>
      <xdr:rowOff>161924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3A13F772-4177-43B0-8E55-D4A980F1D09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56</xdr:col>
      <xdr:colOff>219075</xdr:colOff>
      <xdr:row>110</xdr:row>
      <xdr:rowOff>19050</xdr:rowOff>
    </xdr:from>
    <xdr:to>
      <xdr:col>69</xdr:col>
      <xdr:colOff>542925</xdr:colOff>
      <xdr:row>143</xdr:row>
      <xdr:rowOff>104775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B0D941DD-FAED-4A06-B09E-C8DE7647BC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56</xdr:col>
      <xdr:colOff>0</xdr:colOff>
      <xdr:row>146</xdr:row>
      <xdr:rowOff>0</xdr:rowOff>
    </xdr:from>
    <xdr:to>
      <xdr:col>69</xdr:col>
      <xdr:colOff>323850</xdr:colOff>
      <xdr:row>179</xdr:row>
      <xdr:rowOff>85725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E5A89F64-C812-4B5A-95B9-D75BE1186F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56</xdr:col>
      <xdr:colOff>0</xdr:colOff>
      <xdr:row>181</xdr:row>
      <xdr:rowOff>0</xdr:rowOff>
    </xdr:from>
    <xdr:to>
      <xdr:col>69</xdr:col>
      <xdr:colOff>323850</xdr:colOff>
      <xdr:row>214</xdr:row>
      <xdr:rowOff>85725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16374EAC-4B43-43DD-8BD3-9B7554F22C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88</xdr:row>
      <xdr:rowOff>0</xdr:rowOff>
    </xdr:from>
    <xdr:to>
      <xdr:col>22</xdr:col>
      <xdr:colOff>76200</xdr:colOff>
      <xdr:row>114</xdr:row>
      <xdr:rowOff>1818</xdr:rowOff>
    </xdr:to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3A8D5DA9-D7EC-49CF-8B48-1D35557CE3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123824</xdr:colOff>
      <xdr:row>72</xdr:row>
      <xdr:rowOff>180974</xdr:rowOff>
    </xdr:from>
    <xdr:to>
      <xdr:col>31</xdr:col>
      <xdr:colOff>133349</xdr:colOff>
      <xdr:row>106</xdr:row>
      <xdr:rowOff>76199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FA414E5-F5E4-4246-B2D7-E318A11926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</xdr:row>
      <xdr:rowOff>187326</xdr:rowOff>
    </xdr:from>
    <xdr:to>
      <xdr:col>11</xdr:col>
      <xdr:colOff>21166</xdr:colOff>
      <xdr:row>22</xdr:row>
      <xdr:rowOff>28222</xdr:rowOff>
    </xdr:to>
    <xdr:graphicFrame macro="">
      <xdr:nvGraphicFramePr>
        <xdr:cNvPr id="6" name="Gráfico 2">
          <a:extLst>
            <a:ext uri="{FF2B5EF4-FFF2-40B4-BE49-F238E27FC236}">
              <a16:creationId xmlns:a16="http://schemas.microsoft.com/office/drawing/2014/main" id="{28E7770B-95B3-4355-B950-F58014C7B3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</xdr:row>
      <xdr:rowOff>1</xdr:rowOff>
    </xdr:from>
    <xdr:to>
      <xdr:col>11</xdr:col>
      <xdr:colOff>1</xdr:colOff>
      <xdr:row>22</xdr:row>
      <xdr:rowOff>25401</xdr:rowOff>
    </xdr:to>
    <xdr:graphicFrame macro="">
      <xdr:nvGraphicFramePr>
        <xdr:cNvPr id="5" name="Gráfico 1">
          <a:extLst>
            <a:ext uri="{FF2B5EF4-FFF2-40B4-BE49-F238E27FC236}">
              <a16:creationId xmlns:a16="http://schemas.microsoft.com/office/drawing/2014/main" id="{CB7BCAD6-DC8B-4B44-9290-1D945D2DEA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</xdr:row>
      <xdr:rowOff>1</xdr:rowOff>
    </xdr:from>
    <xdr:to>
      <xdr:col>10</xdr:col>
      <xdr:colOff>596900</xdr:colOff>
      <xdr:row>22</xdr:row>
      <xdr:rowOff>25400</xdr:rowOff>
    </xdr:to>
    <xdr:graphicFrame macro="">
      <xdr:nvGraphicFramePr>
        <xdr:cNvPr id="5" name="Gráfico 5">
          <a:extLst>
            <a:ext uri="{FF2B5EF4-FFF2-40B4-BE49-F238E27FC236}">
              <a16:creationId xmlns:a16="http://schemas.microsoft.com/office/drawing/2014/main" id="{7838EA7C-0B7C-4FCB-A57D-3FA802D7C5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1</xdr:rowOff>
    </xdr:from>
    <xdr:to>
      <xdr:col>11</xdr:col>
      <xdr:colOff>42333</xdr:colOff>
      <xdr:row>22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9EE56DA-B3CB-42D9-B359-2D19443790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10</xdr:col>
      <xdr:colOff>23495</xdr:colOff>
      <xdr:row>16</xdr:row>
      <xdr:rowOff>73660</xdr:rowOff>
    </xdr:to>
    <xdr:pic>
      <xdr:nvPicPr>
        <xdr:cNvPr id="3" name="Imagem 32">
          <a:extLst>
            <a:ext uri="{FF2B5EF4-FFF2-40B4-BE49-F238E27FC236}">
              <a16:creationId xmlns:a16="http://schemas.microsoft.com/office/drawing/2014/main" id="{034E8651-89B1-4039-8B5D-72BE8D29B2D8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9" t="8304" r="1011" b="2051"/>
        <a:stretch/>
      </xdr:blipFill>
      <xdr:spPr bwMode="auto">
        <a:xfrm>
          <a:off x="0" y="571500"/>
          <a:ext cx="6119495" cy="255016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200025</xdr:colOff>
      <xdr:row>3</xdr:row>
      <xdr:rowOff>9524</xdr:rowOff>
    </xdr:from>
    <xdr:to>
      <xdr:col>21</xdr:col>
      <xdr:colOff>390525</xdr:colOff>
      <xdr:row>35</xdr:row>
      <xdr:rowOff>180975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911859C-439A-41FD-B926-6011DF840B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200025</xdr:colOff>
      <xdr:row>3</xdr:row>
      <xdr:rowOff>9524</xdr:rowOff>
    </xdr:from>
    <xdr:to>
      <xdr:col>24</xdr:col>
      <xdr:colOff>390525</xdr:colOff>
      <xdr:row>35</xdr:row>
      <xdr:rowOff>180975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8A1D716-7F32-4E0E-A019-8009DC033D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3</xdr:row>
      <xdr:rowOff>0</xdr:rowOff>
    </xdr:from>
    <xdr:to>
      <xdr:col>19</xdr:col>
      <xdr:colOff>577850</xdr:colOff>
      <xdr:row>30</xdr:row>
      <xdr:rowOff>88934</xdr:rowOff>
    </xdr:to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19DC515D-7C66-46BC-AA5A-A79999752A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200025</xdr:colOff>
      <xdr:row>3</xdr:row>
      <xdr:rowOff>9524</xdr:rowOff>
    </xdr:from>
    <xdr:to>
      <xdr:col>21</xdr:col>
      <xdr:colOff>390525</xdr:colOff>
      <xdr:row>35</xdr:row>
      <xdr:rowOff>180975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1720325-51F9-40AE-ABDF-CD0E23AA03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2</xdr:row>
      <xdr:rowOff>0</xdr:rowOff>
    </xdr:from>
    <xdr:to>
      <xdr:col>18</xdr:col>
      <xdr:colOff>364670</xdr:colOff>
      <xdr:row>26</xdr:row>
      <xdr:rowOff>180919</xdr:rowOff>
    </xdr:to>
    <xdr:graphicFrame macro="">
      <xdr:nvGraphicFramePr>
        <xdr:cNvPr id="4" name="Gráfico 2">
          <a:extLst>
            <a:ext uri="{FF2B5EF4-FFF2-40B4-BE49-F238E27FC236}">
              <a16:creationId xmlns:a16="http://schemas.microsoft.com/office/drawing/2014/main" id="{A21CAA81-92A6-42EA-AB4F-A1B1DCD9E6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6</xdr:row>
      <xdr:rowOff>0</xdr:rowOff>
    </xdr:from>
    <xdr:to>
      <xdr:col>6</xdr:col>
      <xdr:colOff>111125</xdr:colOff>
      <xdr:row>6</xdr:row>
      <xdr:rowOff>111125</xdr:rowOff>
    </xdr:to>
    <xdr:pic>
      <xdr:nvPicPr>
        <xdr:cNvPr id="2" name="Imagem 1" descr="Baixa">
          <a:extLst>
            <a:ext uri="{FF2B5EF4-FFF2-40B4-BE49-F238E27FC236}">
              <a16:creationId xmlns:a16="http://schemas.microsoft.com/office/drawing/2014/main" id="{0F8EDFD4-3B45-49F0-94B2-1F595E487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32766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7</xdr:row>
      <xdr:rowOff>0</xdr:rowOff>
    </xdr:from>
    <xdr:to>
      <xdr:col>6</xdr:col>
      <xdr:colOff>111125</xdr:colOff>
      <xdr:row>7</xdr:row>
      <xdr:rowOff>111125</xdr:rowOff>
    </xdr:to>
    <xdr:pic>
      <xdr:nvPicPr>
        <xdr:cNvPr id="3" name="Imagem 2" descr="Aumento">
          <a:extLst>
            <a:ext uri="{FF2B5EF4-FFF2-40B4-BE49-F238E27FC236}">
              <a16:creationId xmlns:a16="http://schemas.microsoft.com/office/drawing/2014/main" id="{E772E428-17F5-425D-AEBB-1C8354C658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34766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111125</xdr:colOff>
      <xdr:row>8</xdr:row>
      <xdr:rowOff>111125</xdr:rowOff>
    </xdr:to>
    <xdr:pic>
      <xdr:nvPicPr>
        <xdr:cNvPr id="4" name="Imagem 3" descr="Estável">
          <a:extLst>
            <a:ext uri="{FF2B5EF4-FFF2-40B4-BE49-F238E27FC236}">
              <a16:creationId xmlns:a16="http://schemas.microsoft.com/office/drawing/2014/main" id="{BCBB3FE0-C3EF-49BD-BF1C-0DA9F8EBAE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36766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111125</xdr:colOff>
      <xdr:row>9</xdr:row>
      <xdr:rowOff>111125</xdr:rowOff>
    </xdr:to>
    <xdr:pic>
      <xdr:nvPicPr>
        <xdr:cNvPr id="5" name="Imagem 4" descr="Baixa">
          <a:extLst>
            <a:ext uri="{FF2B5EF4-FFF2-40B4-BE49-F238E27FC236}">
              <a16:creationId xmlns:a16="http://schemas.microsoft.com/office/drawing/2014/main" id="{2AFEE4FD-23AC-4B16-8F88-93C94EBB83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38766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111125</xdr:colOff>
      <xdr:row>10</xdr:row>
      <xdr:rowOff>111125</xdr:rowOff>
    </xdr:to>
    <xdr:pic>
      <xdr:nvPicPr>
        <xdr:cNvPr id="6" name="Imagem 5" descr="Estável">
          <a:extLst>
            <a:ext uri="{FF2B5EF4-FFF2-40B4-BE49-F238E27FC236}">
              <a16:creationId xmlns:a16="http://schemas.microsoft.com/office/drawing/2014/main" id="{FB3B27AE-82D1-4B34-9AB1-605F0392B5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40767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111125</xdr:colOff>
      <xdr:row>11</xdr:row>
      <xdr:rowOff>111125</xdr:rowOff>
    </xdr:to>
    <xdr:pic>
      <xdr:nvPicPr>
        <xdr:cNvPr id="7" name="Imagem 6" descr="Estável">
          <a:extLst>
            <a:ext uri="{FF2B5EF4-FFF2-40B4-BE49-F238E27FC236}">
              <a16:creationId xmlns:a16="http://schemas.microsoft.com/office/drawing/2014/main" id="{7520B574-C5DB-4BA9-8143-C5BCA4ACE6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42767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111125</xdr:colOff>
      <xdr:row>12</xdr:row>
      <xdr:rowOff>111125</xdr:rowOff>
    </xdr:to>
    <xdr:pic>
      <xdr:nvPicPr>
        <xdr:cNvPr id="8" name="Imagem 7" descr="Baixa">
          <a:extLst>
            <a:ext uri="{FF2B5EF4-FFF2-40B4-BE49-F238E27FC236}">
              <a16:creationId xmlns:a16="http://schemas.microsoft.com/office/drawing/2014/main" id="{444688EB-32B8-4B04-AF73-036DF4C70B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44767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111125</xdr:colOff>
      <xdr:row>13</xdr:row>
      <xdr:rowOff>111125</xdr:rowOff>
    </xdr:to>
    <xdr:pic>
      <xdr:nvPicPr>
        <xdr:cNvPr id="9" name="Imagem 8" descr="Aumento">
          <a:extLst>
            <a:ext uri="{FF2B5EF4-FFF2-40B4-BE49-F238E27FC236}">
              <a16:creationId xmlns:a16="http://schemas.microsoft.com/office/drawing/2014/main" id="{AC618987-B52E-4922-A6D0-5F180917A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46767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14</xdr:row>
      <xdr:rowOff>0</xdr:rowOff>
    </xdr:from>
    <xdr:to>
      <xdr:col>6</xdr:col>
      <xdr:colOff>111125</xdr:colOff>
      <xdr:row>14</xdr:row>
      <xdr:rowOff>111125</xdr:rowOff>
    </xdr:to>
    <xdr:pic>
      <xdr:nvPicPr>
        <xdr:cNvPr id="10" name="Imagem 9" descr="Aumento">
          <a:extLst>
            <a:ext uri="{FF2B5EF4-FFF2-40B4-BE49-F238E27FC236}">
              <a16:creationId xmlns:a16="http://schemas.microsoft.com/office/drawing/2014/main" id="{D9A39107-0043-4CA9-B5AE-29DE39A490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4876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111125</xdr:colOff>
      <xdr:row>15</xdr:row>
      <xdr:rowOff>111125</xdr:rowOff>
    </xdr:to>
    <xdr:pic>
      <xdr:nvPicPr>
        <xdr:cNvPr id="11" name="Imagem 10" descr="Aumento">
          <a:extLst>
            <a:ext uri="{FF2B5EF4-FFF2-40B4-BE49-F238E27FC236}">
              <a16:creationId xmlns:a16="http://schemas.microsoft.com/office/drawing/2014/main" id="{0A15A65F-1D03-4F63-A81F-E5C9C1737E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50768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111125</xdr:colOff>
      <xdr:row>16</xdr:row>
      <xdr:rowOff>111125</xdr:rowOff>
    </xdr:to>
    <xdr:pic>
      <xdr:nvPicPr>
        <xdr:cNvPr id="12" name="Imagem 11" descr="Aumento">
          <a:extLst>
            <a:ext uri="{FF2B5EF4-FFF2-40B4-BE49-F238E27FC236}">
              <a16:creationId xmlns:a16="http://schemas.microsoft.com/office/drawing/2014/main" id="{FBB1777B-38A0-47F4-8C1B-247AB9CECC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52768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111125</xdr:colOff>
      <xdr:row>17</xdr:row>
      <xdr:rowOff>111125</xdr:rowOff>
    </xdr:to>
    <xdr:pic>
      <xdr:nvPicPr>
        <xdr:cNvPr id="13" name="Imagem 12" descr="Estável">
          <a:extLst>
            <a:ext uri="{FF2B5EF4-FFF2-40B4-BE49-F238E27FC236}">
              <a16:creationId xmlns:a16="http://schemas.microsoft.com/office/drawing/2014/main" id="{F0627A7C-719D-4D7F-9246-366777B7A6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54768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111125</xdr:colOff>
      <xdr:row>18</xdr:row>
      <xdr:rowOff>111125</xdr:rowOff>
    </xdr:to>
    <xdr:pic>
      <xdr:nvPicPr>
        <xdr:cNvPr id="14" name="Imagem 13" descr="Aumento">
          <a:extLst>
            <a:ext uri="{FF2B5EF4-FFF2-40B4-BE49-F238E27FC236}">
              <a16:creationId xmlns:a16="http://schemas.microsoft.com/office/drawing/2014/main" id="{A58D6253-3244-44AB-8CCA-0B341D13D4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56769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111125</xdr:colOff>
      <xdr:row>19</xdr:row>
      <xdr:rowOff>111125</xdr:rowOff>
    </xdr:to>
    <xdr:pic>
      <xdr:nvPicPr>
        <xdr:cNvPr id="15" name="Imagem 14" descr="Aumento">
          <a:extLst>
            <a:ext uri="{FF2B5EF4-FFF2-40B4-BE49-F238E27FC236}">
              <a16:creationId xmlns:a16="http://schemas.microsoft.com/office/drawing/2014/main" id="{2B250ADC-87C9-4086-B140-503912D7CB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58769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111125</xdr:colOff>
      <xdr:row>20</xdr:row>
      <xdr:rowOff>111125</xdr:rowOff>
    </xdr:to>
    <xdr:pic>
      <xdr:nvPicPr>
        <xdr:cNvPr id="16" name="Imagem 15" descr="Aumento">
          <a:extLst>
            <a:ext uri="{FF2B5EF4-FFF2-40B4-BE49-F238E27FC236}">
              <a16:creationId xmlns:a16="http://schemas.microsoft.com/office/drawing/2014/main" id="{B81E62C7-5105-4E6B-A356-2EEE107C5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60769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111125</xdr:colOff>
      <xdr:row>21</xdr:row>
      <xdr:rowOff>111125</xdr:rowOff>
    </xdr:to>
    <xdr:pic>
      <xdr:nvPicPr>
        <xdr:cNvPr id="17" name="Imagem 16" descr="Baixa">
          <a:extLst>
            <a:ext uri="{FF2B5EF4-FFF2-40B4-BE49-F238E27FC236}">
              <a16:creationId xmlns:a16="http://schemas.microsoft.com/office/drawing/2014/main" id="{E9A38313-0EFD-4A83-BD4E-5216095BB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62769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111125</xdr:colOff>
      <xdr:row>22</xdr:row>
      <xdr:rowOff>111125</xdr:rowOff>
    </xdr:to>
    <xdr:pic>
      <xdr:nvPicPr>
        <xdr:cNvPr id="18" name="Imagem 17" descr="Baixa">
          <a:extLst>
            <a:ext uri="{FF2B5EF4-FFF2-40B4-BE49-F238E27FC236}">
              <a16:creationId xmlns:a16="http://schemas.microsoft.com/office/drawing/2014/main" id="{E8CCCA92-13CA-4CB7-AE18-4F3B496989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64770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23</xdr:row>
      <xdr:rowOff>0</xdr:rowOff>
    </xdr:from>
    <xdr:to>
      <xdr:col>6</xdr:col>
      <xdr:colOff>111125</xdr:colOff>
      <xdr:row>23</xdr:row>
      <xdr:rowOff>111125</xdr:rowOff>
    </xdr:to>
    <xdr:pic>
      <xdr:nvPicPr>
        <xdr:cNvPr id="19" name="Imagem 18" descr="Baixa">
          <a:extLst>
            <a:ext uri="{FF2B5EF4-FFF2-40B4-BE49-F238E27FC236}">
              <a16:creationId xmlns:a16="http://schemas.microsoft.com/office/drawing/2014/main" id="{9FA42007-E0CA-425E-AB88-30B1FD721C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66770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111125</xdr:colOff>
      <xdr:row>24</xdr:row>
      <xdr:rowOff>111125</xdr:rowOff>
    </xdr:to>
    <xdr:pic>
      <xdr:nvPicPr>
        <xdr:cNvPr id="20" name="Imagem 19" descr="Estável">
          <a:extLst>
            <a:ext uri="{FF2B5EF4-FFF2-40B4-BE49-F238E27FC236}">
              <a16:creationId xmlns:a16="http://schemas.microsoft.com/office/drawing/2014/main" id="{4CCC9B52-EFC6-4480-A186-041A0597DA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68770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111125</xdr:colOff>
      <xdr:row>25</xdr:row>
      <xdr:rowOff>111125</xdr:rowOff>
    </xdr:to>
    <xdr:pic>
      <xdr:nvPicPr>
        <xdr:cNvPr id="21" name="Imagem 20" descr="Baixa">
          <a:extLst>
            <a:ext uri="{FF2B5EF4-FFF2-40B4-BE49-F238E27FC236}">
              <a16:creationId xmlns:a16="http://schemas.microsoft.com/office/drawing/2014/main" id="{8D43DFF2-394A-44EC-9C1C-458469286E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70770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111125</xdr:colOff>
      <xdr:row>26</xdr:row>
      <xdr:rowOff>111125</xdr:rowOff>
    </xdr:to>
    <xdr:pic>
      <xdr:nvPicPr>
        <xdr:cNvPr id="22" name="Imagem 21" descr="Estável">
          <a:extLst>
            <a:ext uri="{FF2B5EF4-FFF2-40B4-BE49-F238E27FC236}">
              <a16:creationId xmlns:a16="http://schemas.microsoft.com/office/drawing/2014/main" id="{E791410A-35F1-45B0-8F7F-F58CC56A21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72771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111125</xdr:colOff>
      <xdr:row>27</xdr:row>
      <xdr:rowOff>111125</xdr:rowOff>
    </xdr:to>
    <xdr:pic>
      <xdr:nvPicPr>
        <xdr:cNvPr id="23" name="Imagem 22" descr="Estável">
          <a:extLst>
            <a:ext uri="{FF2B5EF4-FFF2-40B4-BE49-F238E27FC236}">
              <a16:creationId xmlns:a16="http://schemas.microsoft.com/office/drawing/2014/main" id="{B60106F3-58FC-427A-BA23-459E94D371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74771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111125</xdr:colOff>
      <xdr:row>28</xdr:row>
      <xdr:rowOff>111125</xdr:rowOff>
    </xdr:to>
    <xdr:pic>
      <xdr:nvPicPr>
        <xdr:cNvPr id="24" name="Imagem 23" descr="Baixa">
          <a:extLst>
            <a:ext uri="{FF2B5EF4-FFF2-40B4-BE49-F238E27FC236}">
              <a16:creationId xmlns:a16="http://schemas.microsoft.com/office/drawing/2014/main" id="{907B0C9A-A780-4A4F-AEBE-A05DC60A7A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76771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111125</xdr:colOff>
      <xdr:row>29</xdr:row>
      <xdr:rowOff>111125</xdr:rowOff>
    </xdr:to>
    <xdr:pic>
      <xdr:nvPicPr>
        <xdr:cNvPr id="25" name="Imagem 24" descr="Aumento">
          <a:extLst>
            <a:ext uri="{FF2B5EF4-FFF2-40B4-BE49-F238E27FC236}">
              <a16:creationId xmlns:a16="http://schemas.microsoft.com/office/drawing/2014/main" id="{8DD8056A-3571-4810-B543-CCD44E54E1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78771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111125</xdr:colOff>
      <xdr:row>30</xdr:row>
      <xdr:rowOff>111125</xdr:rowOff>
    </xdr:to>
    <xdr:pic>
      <xdr:nvPicPr>
        <xdr:cNvPr id="26" name="Imagem 25" descr="Aumento">
          <a:extLst>
            <a:ext uri="{FF2B5EF4-FFF2-40B4-BE49-F238E27FC236}">
              <a16:creationId xmlns:a16="http://schemas.microsoft.com/office/drawing/2014/main" id="{CCE50954-92D5-4756-BC74-69AF38EB3C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0772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31</xdr:row>
      <xdr:rowOff>0</xdr:rowOff>
    </xdr:from>
    <xdr:to>
      <xdr:col>6</xdr:col>
      <xdr:colOff>111125</xdr:colOff>
      <xdr:row>31</xdr:row>
      <xdr:rowOff>111125</xdr:rowOff>
    </xdr:to>
    <xdr:pic>
      <xdr:nvPicPr>
        <xdr:cNvPr id="27" name="Imagem 26" descr="Estável">
          <a:extLst>
            <a:ext uri="{FF2B5EF4-FFF2-40B4-BE49-F238E27FC236}">
              <a16:creationId xmlns:a16="http://schemas.microsoft.com/office/drawing/2014/main" id="{FCB274C4-F091-457D-B748-B652A9BD8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2772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111125</xdr:colOff>
      <xdr:row>32</xdr:row>
      <xdr:rowOff>111125</xdr:rowOff>
    </xdr:to>
    <xdr:pic>
      <xdr:nvPicPr>
        <xdr:cNvPr id="28" name="Imagem 27" descr="Baixa">
          <a:extLst>
            <a:ext uri="{FF2B5EF4-FFF2-40B4-BE49-F238E27FC236}">
              <a16:creationId xmlns:a16="http://schemas.microsoft.com/office/drawing/2014/main" id="{37F121C4-405D-42D1-8ADD-D46A3A9156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4772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33</xdr:row>
      <xdr:rowOff>0</xdr:rowOff>
    </xdr:from>
    <xdr:to>
      <xdr:col>6</xdr:col>
      <xdr:colOff>111125</xdr:colOff>
      <xdr:row>33</xdr:row>
      <xdr:rowOff>111125</xdr:rowOff>
    </xdr:to>
    <xdr:pic>
      <xdr:nvPicPr>
        <xdr:cNvPr id="29" name="Imagem 28" descr="Aumento">
          <a:extLst>
            <a:ext uri="{FF2B5EF4-FFF2-40B4-BE49-F238E27FC236}">
              <a16:creationId xmlns:a16="http://schemas.microsoft.com/office/drawing/2014/main" id="{C8121AE7-2450-457C-863D-3AD99052A4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6772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111125</xdr:colOff>
      <xdr:row>34</xdr:row>
      <xdr:rowOff>111125</xdr:rowOff>
    </xdr:to>
    <xdr:pic>
      <xdr:nvPicPr>
        <xdr:cNvPr id="30" name="Imagem 29" descr="Baixa">
          <a:extLst>
            <a:ext uri="{FF2B5EF4-FFF2-40B4-BE49-F238E27FC236}">
              <a16:creationId xmlns:a16="http://schemas.microsoft.com/office/drawing/2014/main" id="{B37A47F8-805F-4734-AC28-E79E8A269C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8773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35</xdr:row>
      <xdr:rowOff>0</xdr:rowOff>
    </xdr:from>
    <xdr:to>
      <xdr:col>6</xdr:col>
      <xdr:colOff>111125</xdr:colOff>
      <xdr:row>35</xdr:row>
      <xdr:rowOff>111125</xdr:rowOff>
    </xdr:to>
    <xdr:pic>
      <xdr:nvPicPr>
        <xdr:cNvPr id="31" name="Imagem 30" descr="Aumento">
          <a:extLst>
            <a:ext uri="{FF2B5EF4-FFF2-40B4-BE49-F238E27FC236}">
              <a16:creationId xmlns:a16="http://schemas.microsoft.com/office/drawing/2014/main" id="{B14B00D6-2FC5-424D-B68F-1A9E3661B3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90773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36</xdr:row>
      <xdr:rowOff>0</xdr:rowOff>
    </xdr:from>
    <xdr:to>
      <xdr:col>6</xdr:col>
      <xdr:colOff>111125</xdr:colOff>
      <xdr:row>36</xdr:row>
      <xdr:rowOff>111125</xdr:rowOff>
    </xdr:to>
    <xdr:pic>
      <xdr:nvPicPr>
        <xdr:cNvPr id="32" name="Imagem 31" descr="Estável">
          <a:extLst>
            <a:ext uri="{FF2B5EF4-FFF2-40B4-BE49-F238E27FC236}">
              <a16:creationId xmlns:a16="http://schemas.microsoft.com/office/drawing/2014/main" id="{CACB2A8F-4A85-4994-8438-31961683DD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92773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37</xdr:row>
      <xdr:rowOff>0</xdr:rowOff>
    </xdr:from>
    <xdr:to>
      <xdr:col>6</xdr:col>
      <xdr:colOff>111125</xdr:colOff>
      <xdr:row>37</xdr:row>
      <xdr:rowOff>111125</xdr:rowOff>
    </xdr:to>
    <xdr:pic>
      <xdr:nvPicPr>
        <xdr:cNvPr id="33" name="Imagem 32" descr="Baixa">
          <a:extLst>
            <a:ext uri="{FF2B5EF4-FFF2-40B4-BE49-F238E27FC236}">
              <a16:creationId xmlns:a16="http://schemas.microsoft.com/office/drawing/2014/main" id="{FA6457E6-F5B9-4930-9B04-892501CE3F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94773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38</xdr:row>
      <xdr:rowOff>0</xdr:rowOff>
    </xdr:from>
    <xdr:to>
      <xdr:col>6</xdr:col>
      <xdr:colOff>111125</xdr:colOff>
      <xdr:row>38</xdr:row>
      <xdr:rowOff>111125</xdr:rowOff>
    </xdr:to>
    <xdr:pic>
      <xdr:nvPicPr>
        <xdr:cNvPr id="34" name="Imagem 33" descr="Aumento">
          <a:extLst>
            <a:ext uri="{FF2B5EF4-FFF2-40B4-BE49-F238E27FC236}">
              <a16:creationId xmlns:a16="http://schemas.microsoft.com/office/drawing/2014/main" id="{4A3087AA-B98C-46BD-8FBE-6C6C50123E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96774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39</xdr:row>
      <xdr:rowOff>0</xdr:rowOff>
    </xdr:from>
    <xdr:to>
      <xdr:col>6</xdr:col>
      <xdr:colOff>111125</xdr:colOff>
      <xdr:row>39</xdr:row>
      <xdr:rowOff>111125</xdr:rowOff>
    </xdr:to>
    <xdr:pic>
      <xdr:nvPicPr>
        <xdr:cNvPr id="35" name="Imagem 34" descr="Aumento">
          <a:extLst>
            <a:ext uri="{FF2B5EF4-FFF2-40B4-BE49-F238E27FC236}">
              <a16:creationId xmlns:a16="http://schemas.microsoft.com/office/drawing/2014/main" id="{761011B0-0707-4105-8D36-62207084DF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98774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40</xdr:row>
      <xdr:rowOff>0</xdr:rowOff>
    </xdr:from>
    <xdr:to>
      <xdr:col>6</xdr:col>
      <xdr:colOff>111125</xdr:colOff>
      <xdr:row>40</xdr:row>
      <xdr:rowOff>111125</xdr:rowOff>
    </xdr:to>
    <xdr:pic>
      <xdr:nvPicPr>
        <xdr:cNvPr id="36" name="Imagem 35" descr="Estável">
          <a:extLst>
            <a:ext uri="{FF2B5EF4-FFF2-40B4-BE49-F238E27FC236}">
              <a16:creationId xmlns:a16="http://schemas.microsoft.com/office/drawing/2014/main" id="{6374CDF3-ED16-4C8B-AA54-D0CE599CE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00774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41</xdr:row>
      <xdr:rowOff>0</xdr:rowOff>
    </xdr:from>
    <xdr:to>
      <xdr:col>6</xdr:col>
      <xdr:colOff>111125</xdr:colOff>
      <xdr:row>41</xdr:row>
      <xdr:rowOff>111125</xdr:rowOff>
    </xdr:to>
    <xdr:pic>
      <xdr:nvPicPr>
        <xdr:cNvPr id="37" name="Imagem 36" descr="Baixa">
          <a:extLst>
            <a:ext uri="{FF2B5EF4-FFF2-40B4-BE49-F238E27FC236}">
              <a16:creationId xmlns:a16="http://schemas.microsoft.com/office/drawing/2014/main" id="{3D749BEE-55AD-4539-B94A-64CB7A7FE0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02774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42</xdr:row>
      <xdr:rowOff>0</xdr:rowOff>
    </xdr:from>
    <xdr:to>
      <xdr:col>6</xdr:col>
      <xdr:colOff>111125</xdr:colOff>
      <xdr:row>42</xdr:row>
      <xdr:rowOff>111125</xdr:rowOff>
    </xdr:to>
    <xdr:pic>
      <xdr:nvPicPr>
        <xdr:cNvPr id="38" name="Imagem 37" descr="Aumento">
          <a:extLst>
            <a:ext uri="{FF2B5EF4-FFF2-40B4-BE49-F238E27FC236}">
              <a16:creationId xmlns:a16="http://schemas.microsoft.com/office/drawing/2014/main" id="{C7657D5A-2861-456E-BF92-3113785F55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04775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43</xdr:row>
      <xdr:rowOff>0</xdr:rowOff>
    </xdr:from>
    <xdr:to>
      <xdr:col>6</xdr:col>
      <xdr:colOff>111125</xdr:colOff>
      <xdr:row>43</xdr:row>
      <xdr:rowOff>111125</xdr:rowOff>
    </xdr:to>
    <xdr:pic>
      <xdr:nvPicPr>
        <xdr:cNvPr id="39" name="Imagem 38" descr="Aumento">
          <a:extLst>
            <a:ext uri="{FF2B5EF4-FFF2-40B4-BE49-F238E27FC236}">
              <a16:creationId xmlns:a16="http://schemas.microsoft.com/office/drawing/2014/main" id="{052762E4-BE49-4694-A2BB-C68B093C36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06775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44</xdr:row>
      <xdr:rowOff>0</xdr:rowOff>
    </xdr:from>
    <xdr:to>
      <xdr:col>6</xdr:col>
      <xdr:colOff>111125</xdr:colOff>
      <xdr:row>44</xdr:row>
      <xdr:rowOff>111125</xdr:rowOff>
    </xdr:to>
    <xdr:pic>
      <xdr:nvPicPr>
        <xdr:cNvPr id="40" name="Imagem 39" descr="Baixa">
          <a:extLst>
            <a:ext uri="{FF2B5EF4-FFF2-40B4-BE49-F238E27FC236}">
              <a16:creationId xmlns:a16="http://schemas.microsoft.com/office/drawing/2014/main" id="{59C21E58-6CC3-4DB1-B2E7-3F3F75D4B1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08775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45</xdr:row>
      <xdr:rowOff>0</xdr:rowOff>
    </xdr:from>
    <xdr:to>
      <xdr:col>6</xdr:col>
      <xdr:colOff>111125</xdr:colOff>
      <xdr:row>45</xdr:row>
      <xdr:rowOff>111125</xdr:rowOff>
    </xdr:to>
    <xdr:pic>
      <xdr:nvPicPr>
        <xdr:cNvPr id="41" name="Imagem 40" descr="Baixa">
          <a:extLst>
            <a:ext uri="{FF2B5EF4-FFF2-40B4-BE49-F238E27FC236}">
              <a16:creationId xmlns:a16="http://schemas.microsoft.com/office/drawing/2014/main" id="{103FF55E-1173-4C9F-BF53-60AD5F0EDD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10775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46</xdr:row>
      <xdr:rowOff>0</xdr:rowOff>
    </xdr:from>
    <xdr:to>
      <xdr:col>6</xdr:col>
      <xdr:colOff>111125</xdr:colOff>
      <xdr:row>46</xdr:row>
      <xdr:rowOff>111125</xdr:rowOff>
    </xdr:to>
    <xdr:pic>
      <xdr:nvPicPr>
        <xdr:cNvPr id="42" name="Imagem 41" descr="Estável">
          <a:extLst>
            <a:ext uri="{FF2B5EF4-FFF2-40B4-BE49-F238E27FC236}">
              <a16:creationId xmlns:a16="http://schemas.microsoft.com/office/drawing/2014/main" id="{504039E0-A7C8-4FB8-A0F4-E7A7A4F398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12776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47</xdr:row>
      <xdr:rowOff>0</xdr:rowOff>
    </xdr:from>
    <xdr:to>
      <xdr:col>6</xdr:col>
      <xdr:colOff>111125</xdr:colOff>
      <xdr:row>47</xdr:row>
      <xdr:rowOff>111125</xdr:rowOff>
    </xdr:to>
    <xdr:pic>
      <xdr:nvPicPr>
        <xdr:cNvPr id="43" name="Imagem 42" descr="Estável">
          <a:extLst>
            <a:ext uri="{FF2B5EF4-FFF2-40B4-BE49-F238E27FC236}">
              <a16:creationId xmlns:a16="http://schemas.microsoft.com/office/drawing/2014/main" id="{B933A586-168D-40B9-A543-3C907C84CE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14776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48</xdr:row>
      <xdr:rowOff>0</xdr:rowOff>
    </xdr:from>
    <xdr:to>
      <xdr:col>6</xdr:col>
      <xdr:colOff>111125</xdr:colOff>
      <xdr:row>48</xdr:row>
      <xdr:rowOff>111125</xdr:rowOff>
    </xdr:to>
    <xdr:pic>
      <xdr:nvPicPr>
        <xdr:cNvPr id="44" name="Imagem 43" descr="Aumento">
          <a:extLst>
            <a:ext uri="{FF2B5EF4-FFF2-40B4-BE49-F238E27FC236}">
              <a16:creationId xmlns:a16="http://schemas.microsoft.com/office/drawing/2014/main" id="{3E619CB9-E0E3-4782-8E0C-E48B34936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16776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49</xdr:row>
      <xdr:rowOff>0</xdr:rowOff>
    </xdr:from>
    <xdr:to>
      <xdr:col>6</xdr:col>
      <xdr:colOff>111125</xdr:colOff>
      <xdr:row>49</xdr:row>
      <xdr:rowOff>111125</xdr:rowOff>
    </xdr:to>
    <xdr:pic>
      <xdr:nvPicPr>
        <xdr:cNvPr id="45" name="Imagem 44" descr="Aumento">
          <a:extLst>
            <a:ext uri="{FF2B5EF4-FFF2-40B4-BE49-F238E27FC236}">
              <a16:creationId xmlns:a16="http://schemas.microsoft.com/office/drawing/2014/main" id="{EF83E3FC-8D2D-4508-A0E0-AC6CF84882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18776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111125</xdr:colOff>
      <xdr:row>50</xdr:row>
      <xdr:rowOff>111125</xdr:rowOff>
    </xdr:to>
    <xdr:pic>
      <xdr:nvPicPr>
        <xdr:cNvPr id="46" name="Imagem 45" descr="Estável">
          <a:extLst>
            <a:ext uri="{FF2B5EF4-FFF2-40B4-BE49-F238E27FC236}">
              <a16:creationId xmlns:a16="http://schemas.microsoft.com/office/drawing/2014/main" id="{D74D31BB-ECFA-4150-AB51-86EB989EB2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20777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51</xdr:row>
      <xdr:rowOff>0</xdr:rowOff>
    </xdr:from>
    <xdr:to>
      <xdr:col>6</xdr:col>
      <xdr:colOff>111125</xdr:colOff>
      <xdr:row>51</xdr:row>
      <xdr:rowOff>111125</xdr:rowOff>
    </xdr:to>
    <xdr:pic>
      <xdr:nvPicPr>
        <xdr:cNvPr id="47" name="Imagem 46" descr="Aumento">
          <a:extLst>
            <a:ext uri="{FF2B5EF4-FFF2-40B4-BE49-F238E27FC236}">
              <a16:creationId xmlns:a16="http://schemas.microsoft.com/office/drawing/2014/main" id="{EC6AA1A5-8A85-4BDF-93D5-8F06328121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22777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111125</xdr:colOff>
      <xdr:row>52</xdr:row>
      <xdr:rowOff>111125</xdr:rowOff>
    </xdr:to>
    <xdr:pic>
      <xdr:nvPicPr>
        <xdr:cNvPr id="48" name="Imagem 47" descr="Aumento">
          <a:extLst>
            <a:ext uri="{FF2B5EF4-FFF2-40B4-BE49-F238E27FC236}">
              <a16:creationId xmlns:a16="http://schemas.microsoft.com/office/drawing/2014/main" id="{01E5D717-617B-4E96-8C2C-3C8AB981B2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24777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111125</xdr:colOff>
      <xdr:row>53</xdr:row>
      <xdr:rowOff>111125</xdr:rowOff>
    </xdr:to>
    <xdr:pic>
      <xdr:nvPicPr>
        <xdr:cNvPr id="49" name="Imagem 48" descr="Estável">
          <a:extLst>
            <a:ext uri="{FF2B5EF4-FFF2-40B4-BE49-F238E27FC236}">
              <a16:creationId xmlns:a16="http://schemas.microsoft.com/office/drawing/2014/main" id="{3AF333FF-0F6D-4838-9902-260E4E033F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26777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54</xdr:row>
      <xdr:rowOff>0</xdr:rowOff>
    </xdr:from>
    <xdr:to>
      <xdr:col>6</xdr:col>
      <xdr:colOff>111125</xdr:colOff>
      <xdr:row>54</xdr:row>
      <xdr:rowOff>111125</xdr:rowOff>
    </xdr:to>
    <xdr:pic>
      <xdr:nvPicPr>
        <xdr:cNvPr id="50" name="Imagem 49" descr="Baixa">
          <a:extLst>
            <a:ext uri="{FF2B5EF4-FFF2-40B4-BE49-F238E27FC236}">
              <a16:creationId xmlns:a16="http://schemas.microsoft.com/office/drawing/2014/main" id="{21EA27DF-A92D-4D4B-A3DA-44647369A2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28778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111125</xdr:colOff>
      <xdr:row>55</xdr:row>
      <xdr:rowOff>111125</xdr:rowOff>
    </xdr:to>
    <xdr:pic>
      <xdr:nvPicPr>
        <xdr:cNvPr id="51" name="Imagem 50" descr="Estável">
          <a:extLst>
            <a:ext uri="{FF2B5EF4-FFF2-40B4-BE49-F238E27FC236}">
              <a16:creationId xmlns:a16="http://schemas.microsoft.com/office/drawing/2014/main" id="{449DACD0-3CE0-40D8-8DD0-915C906195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30778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56</xdr:row>
      <xdr:rowOff>0</xdr:rowOff>
    </xdr:from>
    <xdr:to>
      <xdr:col>6</xdr:col>
      <xdr:colOff>111125</xdr:colOff>
      <xdr:row>56</xdr:row>
      <xdr:rowOff>111125</xdr:rowOff>
    </xdr:to>
    <xdr:pic>
      <xdr:nvPicPr>
        <xdr:cNvPr id="52" name="Imagem 51" descr="Aumento">
          <a:extLst>
            <a:ext uri="{FF2B5EF4-FFF2-40B4-BE49-F238E27FC236}">
              <a16:creationId xmlns:a16="http://schemas.microsoft.com/office/drawing/2014/main" id="{DA25A687-AD3F-40F2-BCC2-68F70E61D4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32778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57</xdr:row>
      <xdr:rowOff>0</xdr:rowOff>
    </xdr:from>
    <xdr:to>
      <xdr:col>6</xdr:col>
      <xdr:colOff>111125</xdr:colOff>
      <xdr:row>57</xdr:row>
      <xdr:rowOff>111125</xdr:rowOff>
    </xdr:to>
    <xdr:pic>
      <xdr:nvPicPr>
        <xdr:cNvPr id="53" name="Imagem 52" descr="Aumento">
          <a:extLst>
            <a:ext uri="{FF2B5EF4-FFF2-40B4-BE49-F238E27FC236}">
              <a16:creationId xmlns:a16="http://schemas.microsoft.com/office/drawing/2014/main" id="{183974EA-0231-46D3-A697-C718DACF4B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34778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58</xdr:row>
      <xdr:rowOff>0</xdr:rowOff>
    </xdr:from>
    <xdr:to>
      <xdr:col>6</xdr:col>
      <xdr:colOff>111125</xdr:colOff>
      <xdr:row>58</xdr:row>
      <xdr:rowOff>111125</xdr:rowOff>
    </xdr:to>
    <xdr:pic>
      <xdr:nvPicPr>
        <xdr:cNvPr id="54" name="Imagem 53" descr="Aumento">
          <a:extLst>
            <a:ext uri="{FF2B5EF4-FFF2-40B4-BE49-F238E27FC236}">
              <a16:creationId xmlns:a16="http://schemas.microsoft.com/office/drawing/2014/main" id="{C4305906-058C-4790-A910-1063C46643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367790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59</xdr:row>
      <xdr:rowOff>0</xdr:rowOff>
    </xdr:from>
    <xdr:to>
      <xdr:col>6</xdr:col>
      <xdr:colOff>111125</xdr:colOff>
      <xdr:row>59</xdr:row>
      <xdr:rowOff>111125</xdr:rowOff>
    </xdr:to>
    <xdr:pic>
      <xdr:nvPicPr>
        <xdr:cNvPr id="55" name="Imagem 54" descr="Baixa">
          <a:extLst>
            <a:ext uri="{FF2B5EF4-FFF2-40B4-BE49-F238E27FC236}">
              <a16:creationId xmlns:a16="http://schemas.microsoft.com/office/drawing/2014/main" id="{CF897BD9-BA0A-4ADD-8CDB-D150D771AA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38779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60</xdr:row>
      <xdr:rowOff>0</xdr:rowOff>
    </xdr:from>
    <xdr:to>
      <xdr:col>6</xdr:col>
      <xdr:colOff>111125</xdr:colOff>
      <xdr:row>60</xdr:row>
      <xdr:rowOff>111125</xdr:rowOff>
    </xdr:to>
    <xdr:pic>
      <xdr:nvPicPr>
        <xdr:cNvPr id="56" name="Imagem 55" descr="Baixa">
          <a:extLst>
            <a:ext uri="{FF2B5EF4-FFF2-40B4-BE49-F238E27FC236}">
              <a16:creationId xmlns:a16="http://schemas.microsoft.com/office/drawing/2014/main" id="{2B3D1C5A-7927-49C4-A557-45BD8A3DD1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40779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61</xdr:row>
      <xdr:rowOff>0</xdr:rowOff>
    </xdr:from>
    <xdr:to>
      <xdr:col>6</xdr:col>
      <xdr:colOff>111125</xdr:colOff>
      <xdr:row>61</xdr:row>
      <xdr:rowOff>111125</xdr:rowOff>
    </xdr:to>
    <xdr:pic>
      <xdr:nvPicPr>
        <xdr:cNvPr id="57" name="Imagem 56" descr="Aumento">
          <a:extLst>
            <a:ext uri="{FF2B5EF4-FFF2-40B4-BE49-F238E27FC236}">
              <a16:creationId xmlns:a16="http://schemas.microsoft.com/office/drawing/2014/main" id="{DA32E812-E972-4082-90DC-0F0059FCDA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427797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62</xdr:row>
      <xdr:rowOff>0</xdr:rowOff>
    </xdr:from>
    <xdr:to>
      <xdr:col>6</xdr:col>
      <xdr:colOff>111125</xdr:colOff>
      <xdr:row>62</xdr:row>
      <xdr:rowOff>111125</xdr:rowOff>
    </xdr:to>
    <xdr:pic>
      <xdr:nvPicPr>
        <xdr:cNvPr id="58" name="Imagem 57" descr="Estável">
          <a:extLst>
            <a:ext uri="{FF2B5EF4-FFF2-40B4-BE49-F238E27FC236}">
              <a16:creationId xmlns:a16="http://schemas.microsoft.com/office/drawing/2014/main" id="{C03ED2AB-6F36-4CA8-AC95-7AC3666821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4601825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63</xdr:row>
      <xdr:rowOff>0</xdr:rowOff>
    </xdr:from>
    <xdr:to>
      <xdr:col>6</xdr:col>
      <xdr:colOff>111125</xdr:colOff>
      <xdr:row>63</xdr:row>
      <xdr:rowOff>111125</xdr:rowOff>
    </xdr:to>
    <xdr:pic>
      <xdr:nvPicPr>
        <xdr:cNvPr id="59" name="Imagem 58" descr="Baixa">
          <a:extLst>
            <a:ext uri="{FF2B5EF4-FFF2-40B4-BE49-F238E27FC236}">
              <a16:creationId xmlns:a16="http://schemas.microsoft.com/office/drawing/2014/main" id="{50585B07-FCA2-44E7-B677-4ECF4D878C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4801850"/>
          <a:ext cx="1047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4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5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8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0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9.xml.rels><?xml version="1.0" encoding="UTF-8" standalone="yes"?>
<Relationships xmlns="http://schemas.openxmlformats.org/package/2006/relationships"><Relationship Id="rId3" Type="http://schemas.openxmlformats.org/officeDocument/2006/relationships/hyperlink" Target="https://agenciadenoticias.ibge.gov.br/agencia-sala-de-imprensa/2013-agencia-de-noticias/releases/23886-pib-cresce-1-1-em-2018-e-fecha-ano-em-r-6-8-trilhoes" TargetMode="External"/><Relationship Id="rId7" Type="http://schemas.openxmlformats.org/officeDocument/2006/relationships/printerSettings" Target="../printerSettings/printerSettings33.bin"/><Relationship Id="rId2" Type="http://schemas.openxmlformats.org/officeDocument/2006/relationships/hyperlink" Target="https://agenciadenoticias.ibge.gov.br/agencia-sala-de-imprensa/2013-agencia-de-noticias/releases/25921-em-2017-pib-cresce-1-3-e-chega-a-r-6-583-trilhoes" TargetMode="External"/><Relationship Id="rId1" Type="http://schemas.openxmlformats.org/officeDocument/2006/relationships/hyperlink" Target="http://novosite.fjp.mg.gov.br/produto-interno-bruto-pib-de-minas-gerais/" TargetMode="External"/><Relationship Id="rId6" Type="http://schemas.openxmlformats.org/officeDocument/2006/relationships/hyperlink" Target="https://www.ibge.gov.br/explica/pib.php" TargetMode="External"/><Relationship Id="rId5" Type="http://schemas.openxmlformats.org/officeDocument/2006/relationships/hyperlink" Target="https://www.ibge.gov.br/explica/pib.php" TargetMode="External"/><Relationship Id="rId4" Type="http://schemas.openxmlformats.org/officeDocument/2006/relationships/hyperlink" Target="https://agenciadenoticias.ibge.gov.br/agencia-noticias/2012-agencia-de-noticias/noticias/27007-pib-cresce-1-1-e-fecha-2019-em-r-7-3-trilhoes" TargetMode="Externa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53.xml.rels><?xml version="1.0" encoding="UTF-8" standalone="yes"?>
<Relationships xmlns="http://schemas.openxmlformats.org/package/2006/relationships"><Relationship Id="rId26" Type="http://schemas.openxmlformats.org/officeDocument/2006/relationships/hyperlink" Target="https://pt.wikipedia.org/wiki/2002" TargetMode="External"/><Relationship Id="rId21" Type="http://schemas.openxmlformats.org/officeDocument/2006/relationships/hyperlink" Target="https://pt.wikipedia.org/wiki/2007" TargetMode="External"/><Relationship Id="rId42" Type="http://schemas.openxmlformats.org/officeDocument/2006/relationships/hyperlink" Target="https://pt.wikipedia.org/wiki/1988" TargetMode="External"/><Relationship Id="rId47" Type="http://schemas.openxmlformats.org/officeDocument/2006/relationships/hyperlink" Target="https://pt.wikipedia.org/wiki/Jo%C3%A3o_Figueiredo" TargetMode="External"/><Relationship Id="rId63" Type="http://schemas.openxmlformats.org/officeDocument/2006/relationships/hyperlink" Target="https://pt.wikipedia.org/wiki/1970" TargetMode="External"/><Relationship Id="rId68" Type="http://schemas.openxmlformats.org/officeDocument/2006/relationships/hyperlink" Target="https://pt.wikipedia.org/wiki/1966" TargetMode="External"/><Relationship Id="rId2" Type="http://schemas.openxmlformats.org/officeDocument/2006/relationships/hyperlink" Target="https://pt.wikipedia.org/wiki/Produto_interno_bruto_do_Brasil" TargetMode="External"/><Relationship Id="rId16" Type="http://schemas.openxmlformats.org/officeDocument/2006/relationships/hyperlink" Target="https://pt.wikipedia.org/wiki/2011" TargetMode="External"/><Relationship Id="rId29" Type="http://schemas.openxmlformats.org/officeDocument/2006/relationships/hyperlink" Target="https://pt.wikipedia.org/wiki/2000" TargetMode="External"/><Relationship Id="rId11" Type="http://schemas.openxmlformats.org/officeDocument/2006/relationships/hyperlink" Target="https://pt.wikipedia.org/wiki/2016" TargetMode="External"/><Relationship Id="rId24" Type="http://schemas.openxmlformats.org/officeDocument/2006/relationships/hyperlink" Target="https://pt.wikipedia.org/wiki/2004" TargetMode="External"/><Relationship Id="rId32" Type="http://schemas.openxmlformats.org/officeDocument/2006/relationships/hyperlink" Target="https://pt.wikipedia.org/wiki/1997" TargetMode="External"/><Relationship Id="rId37" Type="http://schemas.openxmlformats.org/officeDocument/2006/relationships/hyperlink" Target="https://pt.wikipedia.org/wiki/1992" TargetMode="External"/><Relationship Id="rId40" Type="http://schemas.openxmlformats.org/officeDocument/2006/relationships/hyperlink" Target="https://pt.wikipedia.org/wiki/1989" TargetMode="External"/><Relationship Id="rId45" Type="http://schemas.openxmlformats.org/officeDocument/2006/relationships/hyperlink" Target="https://pt.wikipedia.org/wiki/1985" TargetMode="External"/><Relationship Id="rId53" Type="http://schemas.openxmlformats.org/officeDocument/2006/relationships/hyperlink" Target="https://pt.wikipedia.org/wiki/1978" TargetMode="External"/><Relationship Id="rId58" Type="http://schemas.openxmlformats.org/officeDocument/2006/relationships/hyperlink" Target="https://pt.wikipedia.org/wiki/1974" TargetMode="External"/><Relationship Id="rId66" Type="http://schemas.openxmlformats.org/officeDocument/2006/relationships/hyperlink" Target="https://pt.wikipedia.org/wiki/1968" TargetMode="External"/><Relationship Id="rId74" Type="http://schemas.openxmlformats.org/officeDocument/2006/relationships/hyperlink" Target="https://pt.wikipedia.org/wiki/1961" TargetMode="External"/><Relationship Id="rId5" Type="http://schemas.openxmlformats.org/officeDocument/2006/relationships/hyperlink" Target="https://pt.wikipedia.org/wiki/2021" TargetMode="External"/><Relationship Id="rId61" Type="http://schemas.openxmlformats.org/officeDocument/2006/relationships/hyperlink" Target="https://pt.wikipedia.org/wiki/1972" TargetMode="External"/><Relationship Id="rId19" Type="http://schemas.openxmlformats.org/officeDocument/2006/relationships/hyperlink" Target="https://pt.wikipedia.org/wiki/2009" TargetMode="External"/><Relationship Id="rId14" Type="http://schemas.openxmlformats.org/officeDocument/2006/relationships/hyperlink" Target="https://pt.wikipedia.org/wiki/2013" TargetMode="External"/><Relationship Id="rId22" Type="http://schemas.openxmlformats.org/officeDocument/2006/relationships/hyperlink" Target="https://pt.wikipedia.org/wiki/2006" TargetMode="External"/><Relationship Id="rId27" Type="http://schemas.openxmlformats.org/officeDocument/2006/relationships/hyperlink" Target="https://pt.wikipedia.org/wiki/Governo_Fernando_Henrique_Cardoso" TargetMode="External"/><Relationship Id="rId30" Type="http://schemas.openxmlformats.org/officeDocument/2006/relationships/hyperlink" Target="https://pt.wikipedia.org/wiki/1999" TargetMode="External"/><Relationship Id="rId35" Type="http://schemas.openxmlformats.org/officeDocument/2006/relationships/hyperlink" Target="https://pt.wikipedia.org/wiki/1994" TargetMode="External"/><Relationship Id="rId43" Type="http://schemas.openxmlformats.org/officeDocument/2006/relationships/hyperlink" Target="https://pt.wikipedia.org/wiki/1987" TargetMode="External"/><Relationship Id="rId48" Type="http://schemas.openxmlformats.org/officeDocument/2006/relationships/hyperlink" Target="https://pt.wikipedia.org/wiki/1983" TargetMode="External"/><Relationship Id="rId56" Type="http://schemas.openxmlformats.org/officeDocument/2006/relationships/hyperlink" Target="https://pt.wikipedia.org/wiki/1976" TargetMode="External"/><Relationship Id="rId64" Type="http://schemas.openxmlformats.org/officeDocument/2006/relationships/hyperlink" Target="https://pt.wikipedia.org/wiki/1969" TargetMode="External"/><Relationship Id="rId69" Type="http://schemas.openxmlformats.org/officeDocument/2006/relationships/hyperlink" Target="https://pt.wikipedia.org/wiki/Governo_Castelo_Branco" TargetMode="External"/><Relationship Id="rId8" Type="http://schemas.openxmlformats.org/officeDocument/2006/relationships/hyperlink" Target="https://pt.wikipedia.org/wiki/2019" TargetMode="External"/><Relationship Id="rId51" Type="http://schemas.openxmlformats.org/officeDocument/2006/relationships/hyperlink" Target="https://pt.wikipedia.org/wiki/1980" TargetMode="External"/><Relationship Id="rId72" Type="http://schemas.openxmlformats.org/officeDocument/2006/relationships/hyperlink" Target="https://pt.wikipedia.org/wiki/1963" TargetMode="External"/><Relationship Id="rId3" Type="http://schemas.openxmlformats.org/officeDocument/2006/relationships/hyperlink" Target="https://pt.wikipedia.org/wiki/Produto_interno_bruto_do_Brasil" TargetMode="External"/><Relationship Id="rId12" Type="http://schemas.openxmlformats.org/officeDocument/2006/relationships/hyperlink" Target="https://pt.wikipedia.org/wiki/2015" TargetMode="External"/><Relationship Id="rId17" Type="http://schemas.openxmlformats.org/officeDocument/2006/relationships/hyperlink" Target="https://pt.wikipedia.org/wiki/2010" TargetMode="External"/><Relationship Id="rId25" Type="http://schemas.openxmlformats.org/officeDocument/2006/relationships/hyperlink" Target="https://pt.wikipedia.org/wiki/2003" TargetMode="External"/><Relationship Id="rId33" Type="http://schemas.openxmlformats.org/officeDocument/2006/relationships/hyperlink" Target="https://pt.wikipedia.org/wiki/1996" TargetMode="External"/><Relationship Id="rId38" Type="http://schemas.openxmlformats.org/officeDocument/2006/relationships/hyperlink" Target="https://pt.wikipedia.org/wiki/1991" TargetMode="External"/><Relationship Id="rId46" Type="http://schemas.openxmlformats.org/officeDocument/2006/relationships/hyperlink" Target="https://pt.wikipedia.org/wiki/1984" TargetMode="External"/><Relationship Id="rId59" Type="http://schemas.openxmlformats.org/officeDocument/2006/relationships/hyperlink" Target="https://pt.wikipedia.org/wiki/1973" TargetMode="External"/><Relationship Id="rId67" Type="http://schemas.openxmlformats.org/officeDocument/2006/relationships/hyperlink" Target="https://pt.wikipedia.org/wiki/1967" TargetMode="External"/><Relationship Id="rId20" Type="http://schemas.openxmlformats.org/officeDocument/2006/relationships/hyperlink" Target="https://pt.wikipedia.org/wiki/2008" TargetMode="External"/><Relationship Id="rId41" Type="http://schemas.openxmlformats.org/officeDocument/2006/relationships/hyperlink" Target="https://pt.wikipedia.org/wiki/Governo_Sarney" TargetMode="External"/><Relationship Id="rId54" Type="http://schemas.openxmlformats.org/officeDocument/2006/relationships/hyperlink" Target="https://pt.wikipedia.org/wiki/Governo_Ernesto_Geisel" TargetMode="External"/><Relationship Id="rId62" Type="http://schemas.openxmlformats.org/officeDocument/2006/relationships/hyperlink" Target="https://pt.wikipedia.org/wiki/1971" TargetMode="External"/><Relationship Id="rId70" Type="http://schemas.openxmlformats.org/officeDocument/2006/relationships/hyperlink" Target="https://pt.wikipedia.org/wiki/1965" TargetMode="External"/><Relationship Id="rId75" Type="http://schemas.openxmlformats.org/officeDocument/2006/relationships/drawing" Target="../drawings/drawing14.xml"/><Relationship Id="rId1" Type="http://schemas.openxmlformats.org/officeDocument/2006/relationships/hyperlink" Target="https://pt.wikipedia.org/wiki/Produto_interno_bruto_do_Brasil" TargetMode="External"/><Relationship Id="rId6" Type="http://schemas.openxmlformats.org/officeDocument/2006/relationships/hyperlink" Target="https://pt.wikipedia.org/wiki/Governo_Jair_Bolsonaro" TargetMode="External"/><Relationship Id="rId15" Type="http://schemas.openxmlformats.org/officeDocument/2006/relationships/hyperlink" Target="https://pt.wikipedia.org/wiki/2012" TargetMode="External"/><Relationship Id="rId23" Type="http://schemas.openxmlformats.org/officeDocument/2006/relationships/hyperlink" Target="https://pt.wikipedia.org/wiki/2005" TargetMode="External"/><Relationship Id="rId28" Type="http://schemas.openxmlformats.org/officeDocument/2006/relationships/hyperlink" Target="https://pt.wikipedia.org/wiki/2001" TargetMode="External"/><Relationship Id="rId36" Type="http://schemas.openxmlformats.org/officeDocument/2006/relationships/hyperlink" Target="https://pt.wikipedia.org/wiki/1993" TargetMode="External"/><Relationship Id="rId49" Type="http://schemas.openxmlformats.org/officeDocument/2006/relationships/hyperlink" Target="https://pt.wikipedia.org/wiki/1982" TargetMode="External"/><Relationship Id="rId57" Type="http://schemas.openxmlformats.org/officeDocument/2006/relationships/hyperlink" Target="https://pt.wikipedia.org/wiki/1975" TargetMode="External"/><Relationship Id="rId10" Type="http://schemas.openxmlformats.org/officeDocument/2006/relationships/hyperlink" Target="https://pt.wikipedia.org/wiki/2017" TargetMode="External"/><Relationship Id="rId31" Type="http://schemas.openxmlformats.org/officeDocument/2006/relationships/hyperlink" Target="https://pt.wikipedia.org/wiki/1998" TargetMode="External"/><Relationship Id="rId44" Type="http://schemas.openxmlformats.org/officeDocument/2006/relationships/hyperlink" Target="https://pt.wikipedia.org/wiki/1986" TargetMode="External"/><Relationship Id="rId52" Type="http://schemas.openxmlformats.org/officeDocument/2006/relationships/hyperlink" Target="https://pt.wikipedia.org/wiki/1979" TargetMode="External"/><Relationship Id="rId60" Type="http://schemas.openxmlformats.org/officeDocument/2006/relationships/hyperlink" Target="https://pt.wikipedia.org/wiki/Em%C3%ADlio_Garrastazu_M%C3%A9dici" TargetMode="External"/><Relationship Id="rId65" Type="http://schemas.openxmlformats.org/officeDocument/2006/relationships/hyperlink" Target="https://pt.wikipedia.org/wiki/Costa_e_Silva" TargetMode="External"/><Relationship Id="rId73" Type="http://schemas.openxmlformats.org/officeDocument/2006/relationships/hyperlink" Target="https://pt.wikipedia.org/wiki/1962" TargetMode="External"/><Relationship Id="rId4" Type="http://schemas.openxmlformats.org/officeDocument/2006/relationships/hyperlink" Target="https://pt.wikipedia.org/wiki/Produto_interno_bruto_do_Brasil" TargetMode="External"/><Relationship Id="rId9" Type="http://schemas.openxmlformats.org/officeDocument/2006/relationships/hyperlink" Target="https://pt.wikipedia.org/wiki/2018" TargetMode="External"/><Relationship Id="rId13" Type="http://schemas.openxmlformats.org/officeDocument/2006/relationships/hyperlink" Target="https://pt.wikipedia.org/wiki/2014" TargetMode="External"/><Relationship Id="rId18" Type="http://schemas.openxmlformats.org/officeDocument/2006/relationships/hyperlink" Target="https://pt.wikipedia.org/wiki/Governo_Lula" TargetMode="External"/><Relationship Id="rId39" Type="http://schemas.openxmlformats.org/officeDocument/2006/relationships/hyperlink" Target="https://pt.wikipedia.org/wiki/1990" TargetMode="External"/><Relationship Id="rId34" Type="http://schemas.openxmlformats.org/officeDocument/2006/relationships/hyperlink" Target="https://pt.wikipedia.org/wiki/1995" TargetMode="External"/><Relationship Id="rId50" Type="http://schemas.openxmlformats.org/officeDocument/2006/relationships/hyperlink" Target="https://pt.wikipedia.org/wiki/1981" TargetMode="External"/><Relationship Id="rId55" Type="http://schemas.openxmlformats.org/officeDocument/2006/relationships/hyperlink" Target="https://pt.wikipedia.org/wiki/1977" TargetMode="External"/><Relationship Id="rId7" Type="http://schemas.openxmlformats.org/officeDocument/2006/relationships/hyperlink" Target="https://pt.wikipedia.org/wiki/2020" TargetMode="External"/><Relationship Id="rId71" Type="http://schemas.openxmlformats.org/officeDocument/2006/relationships/hyperlink" Target="https://pt.wikipedia.org/wiki/1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59112-304F-46D9-9150-5D4214B6179B}">
  <sheetPr>
    <tabColor theme="2" tint="-0.749992370372631"/>
  </sheetPr>
  <dimension ref="A1:E29"/>
  <sheetViews>
    <sheetView tabSelected="1" zoomScale="85" zoomScaleNormal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20.7109375" style="35" bestFit="1" customWidth="1"/>
    <col min="2" max="2" width="18.5703125" style="35" bestFit="1" customWidth="1"/>
    <col min="3" max="3" width="87.140625" style="212" bestFit="1" customWidth="1"/>
    <col min="4" max="4" width="19.85546875" style="35" bestFit="1" customWidth="1"/>
    <col min="5" max="5" width="36.140625" style="35" bestFit="1" customWidth="1"/>
  </cols>
  <sheetData>
    <row r="1" spans="1:5" x14ac:dyDescent="0.25">
      <c r="A1" s="40" t="s">
        <v>481</v>
      </c>
      <c r="B1" s="40" t="s">
        <v>482</v>
      </c>
      <c r="C1" s="211" t="s">
        <v>483</v>
      </c>
      <c r="D1" s="40" t="s">
        <v>484</v>
      </c>
      <c r="E1" s="40" t="s">
        <v>485</v>
      </c>
    </row>
    <row r="2" spans="1:5" x14ac:dyDescent="0.25">
      <c r="A2" s="215" t="s">
        <v>488</v>
      </c>
      <c r="B2" s="35" t="s">
        <v>489</v>
      </c>
      <c r="C2" s="212" t="s">
        <v>511</v>
      </c>
      <c r="D2" s="35" t="s">
        <v>486</v>
      </c>
    </row>
    <row r="3" spans="1:5" x14ac:dyDescent="0.25">
      <c r="A3" s="213" t="s">
        <v>487</v>
      </c>
      <c r="B3" s="35" t="s">
        <v>513</v>
      </c>
      <c r="C3" s="212" t="s">
        <v>512</v>
      </c>
      <c r="D3" s="216" t="s">
        <v>488</v>
      </c>
    </row>
    <row r="4" spans="1:5" x14ac:dyDescent="0.25">
      <c r="A4" s="218" t="s">
        <v>515</v>
      </c>
      <c r="B4" s="35" t="s">
        <v>513</v>
      </c>
      <c r="C4" s="212" t="s">
        <v>556</v>
      </c>
      <c r="D4" s="35" t="s">
        <v>486</v>
      </c>
    </row>
    <row r="5" spans="1:5" x14ac:dyDescent="0.25">
      <c r="A5" s="218" t="s">
        <v>521</v>
      </c>
      <c r="B5" s="35" t="s">
        <v>513</v>
      </c>
      <c r="C5" s="212" t="s">
        <v>557</v>
      </c>
      <c r="D5" s="35" t="s">
        <v>486</v>
      </c>
    </row>
    <row r="6" spans="1:5" x14ac:dyDescent="0.25">
      <c r="A6" s="41" t="s">
        <v>490</v>
      </c>
      <c r="B6" s="35" t="s">
        <v>514</v>
      </c>
      <c r="C6" s="35" t="s">
        <v>517</v>
      </c>
      <c r="D6" s="208" t="s">
        <v>487</v>
      </c>
      <c r="E6" s="35" t="s">
        <v>516</v>
      </c>
    </row>
    <row r="7" spans="1:5" ht="30" x14ac:dyDescent="0.25">
      <c r="A7" s="41" t="s">
        <v>491</v>
      </c>
      <c r="B7" s="35" t="s">
        <v>514</v>
      </c>
      <c r="C7" s="212" t="s">
        <v>518</v>
      </c>
      <c r="D7" s="208" t="s">
        <v>487</v>
      </c>
      <c r="E7" s="35" t="s">
        <v>516</v>
      </c>
    </row>
    <row r="8" spans="1:5" ht="30" x14ac:dyDescent="0.25">
      <c r="A8" s="41" t="s">
        <v>492</v>
      </c>
      <c r="B8" s="35" t="s">
        <v>514</v>
      </c>
      <c r="C8" s="212" t="s">
        <v>519</v>
      </c>
      <c r="D8" s="208" t="s">
        <v>487</v>
      </c>
      <c r="E8" s="35" t="s">
        <v>516</v>
      </c>
    </row>
    <row r="9" spans="1:5" x14ac:dyDescent="0.25">
      <c r="A9" s="41" t="s">
        <v>493</v>
      </c>
      <c r="B9" s="35" t="s">
        <v>514</v>
      </c>
      <c r="C9" s="212" t="s">
        <v>520</v>
      </c>
      <c r="D9" s="208" t="s">
        <v>487</v>
      </c>
      <c r="E9" s="35" t="s">
        <v>516</v>
      </c>
    </row>
    <row r="10" spans="1:5" x14ac:dyDescent="0.25">
      <c r="A10" s="41" t="s">
        <v>494</v>
      </c>
      <c r="B10" s="35" t="s">
        <v>514</v>
      </c>
      <c r="C10" s="212" t="s">
        <v>560</v>
      </c>
      <c r="D10" s="208" t="s">
        <v>487</v>
      </c>
      <c r="E10" s="35" t="s">
        <v>516</v>
      </c>
    </row>
    <row r="11" spans="1:5" x14ac:dyDescent="0.25">
      <c r="A11" s="41" t="s">
        <v>496</v>
      </c>
      <c r="B11" s="35" t="s">
        <v>514</v>
      </c>
      <c r="C11" s="212" t="s">
        <v>561</v>
      </c>
      <c r="D11" s="208" t="s">
        <v>487</v>
      </c>
      <c r="E11" s="35" t="s">
        <v>516</v>
      </c>
    </row>
    <row r="12" spans="1:5" x14ac:dyDescent="0.25">
      <c r="A12" s="41" t="s">
        <v>495</v>
      </c>
      <c r="B12" s="35" t="s">
        <v>514</v>
      </c>
      <c r="C12" s="212" t="s">
        <v>522</v>
      </c>
      <c r="D12" s="208" t="s">
        <v>487</v>
      </c>
      <c r="E12" s="35" t="s">
        <v>516</v>
      </c>
    </row>
    <row r="13" spans="1:5" ht="30" x14ac:dyDescent="0.25">
      <c r="A13" s="214" t="s">
        <v>497</v>
      </c>
      <c r="B13" s="35" t="s">
        <v>514</v>
      </c>
      <c r="C13" s="212" t="s">
        <v>523</v>
      </c>
      <c r="D13" s="208" t="s">
        <v>487</v>
      </c>
      <c r="E13" s="35" t="s">
        <v>516</v>
      </c>
    </row>
    <row r="14" spans="1:5" x14ac:dyDescent="0.25">
      <c r="A14" s="214" t="s">
        <v>498</v>
      </c>
      <c r="B14" s="35" t="s">
        <v>514</v>
      </c>
      <c r="C14" s="212" t="s">
        <v>524</v>
      </c>
      <c r="D14" s="206" t="s">
        <v>515</v>
      </c>
      <c r="E14" s="35" t="s">
        <v>516</v>
      </c>
    </row>
    <row r="15" spans="1:5" x14ac:dyDescent="0.25">
      <c r="A15" s="214" t="s">
        <v>499</v>
      </c>
      <c r="B15" s="35" t="s">
        <v>514</v>
      </c>
      <c r="C15" s="212" t="s">
        <v>525</v>
      </c>
      <c r="D15" s="206" t="s">
        <v>521</v>
      </c>
      <c r="E15" s="35" t="s">
        <v>516</v>
      </c>
    </row>
    <row r="16" spans="1:5" x14ac:dyDescent="0.25">
      <c r="A16" s="214" t="s">
        <v>500</v>
      </c>
      <c r="B16" s="35" t="s">
        <v>514</v>
      </c>
      <c r="C16" s="212" t="s">
        <v>526</v>
      </c>
      <c r="D16" s="35" t="s">
        <v>486</v>
      </c>
      <c r="E16" s="35" t="s">
        <v>516</v>
      </c>
    </row>
    <row r="17" spans="1:5" ht="30" x14ac:dyDescent="0.25">
      <c r="A17" s="214" t="s">
        <v>502</v>
      </c>
      <c r="B17" s="35" t="s">
        <v>514</v>
      </c>
      <c r="C17" s="212" t="s">
        <v>527</v>
      </c>
      <c r="D17" s="208" t="s">
        <v>487</v>
      </c>
      <c r="E17" s="35" t="s">
        <v>516</v>
      </c>
    </row>
    <row r="18" spans="1:5" x14ac:dyDescent="0.25">
      <c r="A18" s="41" t="s">
        <v>501</v>
      </c>
      <c r="B18" s="35" t="s">
        <v>514</v>
      </c>
      <c r="C18" s="212" t="s">
        <v>528</v>
      </c>
      <c r="D18" s="208" t="s">
        <v>487</v>
      </c>
      <c r="E18" s="35" t="s">
        <v>516</v>
      </c>
    </row>
    <row r="19" spans="1:5" x14ac:dyDescent="0.25">
      <c r="A19" s="214" t="s">
        <v>503</v>
      </c>
      <c r="B19" s="35" t="s">
        <v>514</v>
      </c>
      <c r="C19" s="212" t="s">
        <v>559</v>
      </c>
      <c r="D19" s="208" t="s">
        <v>487</v>
      </c>
      <c r="E19" s="35" t="s">
        <v>516</v>
      </c>
    </row>
    <row r="20" spans="1:5" x14ac:dyDescent="0.25">
      <c r="A20" s="214" t="s">
        <v>504</v>
      </c>
      <c r="B20" s="35" t="s">
        <v>514</v>
      </c>
      <c r="C20" s="212" t="s">
        <v>558</v>
      </c>
      <c r="D20" s="208" t="s">
        <v>487</v>
      </c>
      <c r="E20" s="35" t="s">
        <v>516</v>
      </c>
    </row>
    <row r="21" spans="1:5" x14ac:dyDescent="0.25">
      <c r="A21" s="214" t="s">
        <v>505</v>
      </c>
      <c r="B21" s="35" t="s">
        <v>514</v>
      </c>
      <c r="C21" s="212" t="s">
        <v>529</v>
      </c>
      <c r="D21" s="208" t="s">
        <v>487</v>
      </c>
      <c r="E21" s="35" t="s">
        <v>516</v>
      </c>
    </row>
    <row r="22" spans="1:5" x14ac:dyDescent="0.25">
      <c r="A22" s="214" t="s">
        <v>506</v>
      </c>
      <c r="B22" s="35" t="s">
        <v>514</v>
      </c>
      <c r="C22" s="212" t="s">
        <v>530</v>
      </c>
      <c r="D22" s="208" t="s">
        <v>487</v>
      </c>
      <c r="E22" s="35" t="s">
        <v>516</v>
      </c>
    </row>
    <row r="23" spans="1:5" x14ac:dyDescent="0.25">
      <c r="A23" s="214" t="s">
        <v>507</v>
      </c>
      <c r="B23" s="35" t="s">
        <v>514</v>
      </c>
      <c r="C23" s="212" t="s">
        <v>531</v>
      </c>
      <c r="E23" s="35" t="s">
        <v>516</v>
      </c>
    </row>
    <row r="24" spans="1:5" x14ac:dyDescent="0.25">
      <c r="A24" s="214" t="s">
        <v>508</v>
      </c>
      <c r="B24" s="35" t="s">
        <v>514</v>
      </c>
      <c r="C24" s="212" t="s">
        <v>532</v>
      </c>
      <c r="D24" s="208" t="s">
        <v>487</v>
      </c>
      <c r="E24" s="35" t="s">
        <v>516</v>
      </c>
    </row>
    <row r="25" spans="1:5" x14ac:dyDescent="0.25">
      <c r="A25" s="214" t="s">
        <v>509</v>
      </c>
      <c r="B25" s="35" t="s">
        <v>514</v>
      </c>
      <c r="C25" s="212" t="s">
        <v>533</v>
      </c>
      <c r="D25" s="208" t="s">
        <v>487</v>
      </c>
      <c r="E25" s="35" t="s">
        <v>516</v>
      </c>
    </row>
    <row r="26" spans="1:5" ht="36" customHeight="1" x14ac:dyDescent="0.25">
      <c r="A26" s="214" t="s">
        <v>562</v>
      </c>
      <c r="B26" s="35" t="s">
        <v>514</v>
      </c>
      <c r="C26" s="212" t="s">
        <v>534</v>
      </c>
      <c r="D26" s="217" t="s">
        <v>537</v>
      </c>
      <c r="E26" s="35" t="s">
        <v>516</v>
      </c>
    </row>
    <row r="27" spans="1:5" x14ac:dyDescent="0.25">
      <c r="A27" s="41" t="s">
        <v>510</v>
      </c>
      <c r="B27" s="35" t="s">
        <v>514</v>
      </c>
      <c r="C27" s="212" t="s">
        <v>535</v>
      </c>
      <c r="E27" s="35" t="s">
        <v>516</v>
      </c>
    </row>
    <row r="28" spans="1:5" x14ac:dyDescent="0.25">
      <c r="A28" s="214" t="s">
        <v>563</v>
      </c>
      <c r="B28" s="35" t="s">
        <v>514</v>
      </c>
      <c r="C28" s="212" t="s">
        <v>536</v>
      </c>
      <c r="E28" s="35" t="s">
        <v>516</v>
      </c>
    </row>
    <row r="29" spans="1:5" x14ac:dyDescent="0.25">
      <c r="A29" s="214" t="s">
        <v>564</v>
      </c>
      <c r="B29" s="35" t="s">
        <v>514</v>
      </c>
      <c r="C29" s="212" t="s">
        <v>553</v>
      </c>
      <c r="E29" s="35" t="s">
        <v>516</v>
      </c>
    </row>
  </sheetData>
  <phoneticPr fontId="48" type="noConversion"/>
  <hyperlinks>
    <hyperlink ref="A6" location="'Gráfico 1'!A1" display="Gráfico 1" xr:uid="{DAE0F516-CFF1-4813-A647-E6A40F2689A7}"/>
    <hyperlink ref="A2" location="DADOS!A1" display="DADOS" xr:uid="{62DE774F-948C-4CE9-98E2-577E1AE8B234}"/>
    <hyperlink ref="A3" location="EmbDesemBUS!A1" display="EmbDesemBUS" xr:uid="{DB7FE6E6-268D-48C8-A59B-2216BB3D05B5}"/>
    <hyperlink ref="A7" location="'Tabela 1'!A1" display="Tabela 1" xr:uid="{E7AE2B31-D2E6-4EFD-BA90-B8E71E3C62F7}"/>
    <hyperlink ref="A8" location="'Tabela 2'!A1" display="Tabela 2" xr:uid="{B73C2C12-9094-4D70-9E14-2003B7199BFC}"/>
    <hyperlink ref="A9" location="'Gráfico 2'!A1" display="Gráfico 2" xr:uid="{44CA2E09-757F-4060-AE91-2F33A45D116B}"/>
    <hyperlink ref="A10" location="'Tabela 3'!A1" display="Tabela 3" xr:uid="{080406C3-1860-4251-B4F5-4157405A5944}"/>
    <hyperlink ref="A12" location="'Gráfico 3'!A1" display="Gráfico 3" xr:uid="{3DACCB9B-8F97-4CC1-9E10-83F7D41B0549}"/>
    <hyperlink ref="A18" location="'Gráfico 4'!A1" display="Gráfico 4" xr:uid="{624DD99A-7F1A-4332-B995-E8F6D787AAE5}"/>
    <hyperlink ref="A27" location="'Gráfico 5'!A1" display="Gráfico 5" xr:uid="{0A6FEF45-4B00-4875-A3E4-BD2CF8C93356}"/>
    <hyperlink ref="A4" location="Estacionamento!A1" display="Estacionamento" xr:uid="{97C755D7-957B-4F26-95BB-3C521E374AE1}"/>
    <hyperlink ref="A5" location="Sanitários!A1" display="Sanitários" xr:uid="{7B7547EF-9E19-4E9C-80B0-43F56188D311}"/>
    <hyperlink ref="A11" location="'Tabela 4'!A1" display="Tabela 4" xr:uid="{75D11E7A-7C19-44D8-BCF7-83FEE370E910}"/>
    <hyperlink ref="A13" location="'Tabela 5'!A1" display="Tabela 5" xr:uid="{5FEAA2F7-B421-4BF9-865E-64D607514A47}"/>
    <hyperlink ref="A14" location="'Tabela 6'!A1" display="Tabela 6" xr:uid="{37425266-69AD-467E-8D4F-6BFF3052A067}"/>
    <hyperlink ref="A15" location="'Tabela 7'!A1" display="Tabela 7" xr:uid="{D45194BE-2B5C-4706-92F1-5724A22A257C}"/>
    <hyperlink ref="A16" location="'Tabela 8'!A1" display="Tabela 8" xr:uid="{3B54EF67-EA46-4766-93AC-A6C29BE55929}"/>
    <hyperlink ref="A17" location="'Tabela 9'!A1" display="Tabela 9" xr:uid="{BA121FA5-52BB-4B12-A8DB-FD9D211C3E5E}"/>
    <hyperlink ref="A19" location="'Tabela 10'!A1" display="Tabela 10" xr:uid="{50BB69BE-F8A9-44A3-81BB-6B29B9E71EBD}"/>
    <hyperlink ref="A20" location="'Tabela 11'!A1" display="Tabela 11" xr:uid="{78DA5CE0-4535-4E58-8677-FD562D97721C}"/>
    <hyperlink ref="A21" location="'Tabela 12'!A1" display="Tabela 12" xr:uid="{F9CC812D-4EC4-4D32-98CA-B734D480E7A6}"/>
    <hyperlink ref="A22" location="'Tabela 13'!A1" display="Tabela 13" xr:uid="{05A852C7-0A15-4E98-916F-DE64E1135E1C}"/>
    <hyperlink ref="A23" location="'Tabela 14'!A1" display="Tabela 14" xr:uid="{539B2D5D-2E21-4621-BF3C-C9C37CE6C230}"/>
    <hyperlink ref="A24" location="'Tabela 15'!A1" display="Tabela 15" xr:uid="{7AB8BBBA-D411-42A2-A1B0-1C5B2D09CB78}"/>
    <hyperlink ref="A25" location="'Tabela 16'!A1" display="Tabela 16" xr:uid="{91A7DE98-5947-49D9-B8D6-E359F22E504D}"/>
    <hyperlink ref="A26" location="'Tabela 17'!A1" display="Tabela 17" xr:uid="{9A362038-1429-43FC-B808-E3DA38D2558A}"/>
    <hyperlink ref="A28" location="'Tabela 18'!A1" display="Tabela 18" xr:uid="{A7A0DF80-8051-48C3-9413-A23F2C533C9E}"/>
    <hyperlink ref="A29" location="'Tabela 19 e Gráfico 6'!A1" display="Tabela 19 e Gráfico 6" xr:uid="{21BDF9C7-7819-436F-8598-117E0E3032F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CF859-4625-4D36-9E3F-D3EF61C4B055}">
  <sheetPr>
    <tabColor rgb="FF002060"/>
  </sheetPr>
  <dimension ref="A1:G111"/>
  <sheetViews>
    <sheetView zoomScaleNormal="100" workbookViewId="0"/>
  </sheetViews>
  <sheetFormatPr defaultRowHeight="15" x14ac:dyDescent="0.25"/>
  <cols>
    <col min="1" max="1" width="9.140625" style="149"/>
    <col min="3" max="3" width="10.85546875" bestFit="1" customWidth="1"/>
    <col min="4" max="4" width="9.42578125" bestFit="1" customWidth="1"/>
    <col min="5" max="5" width="14.42578125" bestFit="1" customWidth="1"/>
    <col min="6" max="6" width="25.28515625" bestFit="1" customWidth="1"/>
    <col min="7" max="7" width="21.140625" bestFit="1" customWidth="1"/>
  </cols>
  <sheetData>
    <row r="1" spans="1:7" x14ac:dyDescent="0.25">
      <c r="A1" s="207"/>
      <c r="B1" s="207"/>
      <c r="C1" s="207"/>
      <c r="D1" s="207"/>
      <c r="E1" s="207"/>
      <c r="F1" s="207"/>
      <c r="G1" s="207"/>
    </row>
    <row r="2" spans="1:7" x14ac:dyDescent="0.25">
      <c r="A2" s="149" t="s">
        <v>0</v>
      </c>
      <c r="B2" t="s">
        <v>1</v>
      </c>
      <c r="C2" t="s">
        <v>2</v>
      </c>
      <c r="D2" t="s">
        <v>3</v>
      </c>
      <c r="E2" t="s">
        <v>4</v>
      </c>
      <c r="F2" s="8" t="s">
        <v>5</v>
      </c>
      <c r="G2" s="8" t="s">
        <v>6</v>
      </c>
    </row>
    <row r="3" spans="1:7" x14ac:dyDescent="0.25">
      <c r="A3" s="149">
        <v>40909</v>
      </c>
      <c r="B3" s="2">
        <v>24087</v>
      </c>
      <c r="C3" s="2">
        <v>492218</v>
      </c>
      <c r="D3" s="2">
        <v>24862</v>
      </c>
      <c r="E3" s="2">
        <v>517514</v>
      </c>
      <c r="F3" s="10">
        <f>C3+E3</f>
        <v>1009732</v>
      </c>
      <c r="G3" s="10">
        <f>B3+D3</f>
        <v>48949</v>
      </c>
    </row>
    <row r="4" spans="1:7" x14ac:dyDescent="0.25">
      <c r="A4" s="149">
        <v>40940</v>
      </c>
      <c r="B4" s="2">
        <v>22926</v>
      </c>
      <c r="C4" s="2">
        <v>460983</v>
      </c>
      <c r="D4" s="2">
        <v>23109</v>
      </c>
      <c r="E4" s="2">
        <v>409300</v>
      </c>
      <c r="F4" s="10">
        <f t="shared" ref="F4:F67" si="0">C4+E4</f>
        <v>870283</v>
      </c>
      <c r="G4" s="10">
        <f t="shared" ref="G4:G67" si="1">B4+D4</f>
        <v>46035</v>
      </c>
    </row>
    <row r="5" spans="1:7" x14ac:dyDescent="0.25">
      <c r="A5" s="149">
        <v>40969</v>
      </c>
      <c r="B5" s="2">
        <v>22980</v>
      </c>
      <c r="C5" s="2">
        <v>389847</v>
      </c>
      <c r="D5" s="2">
        <v>22680</v>
      </c>
      <c r="E5" s="2">
        <v>361493</v>
      </c>
      <c r="F5" s="10">
        <f t="shared" si="0"/>
        <v>751340</v>
      </c>
      <c r="G5" s="10">
        <f t="shared" si="1"/>
        <v>45660</v>
      </c>
    </row>
    <row r="6" spans="1:7" x14ac:dyDescent="0.25">
      <c r="A6" s="149">
        <v>41000</v>
      </c>
      <c r="B6" s="2">
        <v>23132</v>
      </c>
      <c r="C6" s="2">
        <v>461986</v>
      </c>
      <c r="D6" s="2">
        <v>23047</v>
      </c>
      <c r="E6" s="2">
        <v>420289</v>
      </c>
      <c r="F6" s="10">
        <f t="shared" si="0"/>
        <v>882275</v>
      </c>
      <c r="G6" s="10">
        <f t="shared" si="1"/>
        <v>46179</v>
      </c>
    </row>
    <row r="7" spans="1:7" x14ac:dyDescent="0.25">
      <c r="A7" s="149">
        <v>41030</v>
      </c>
      <c r="B7" s="2">
        <v>23168</v>
      </c>
      <c r="C7" s="2">
        <v>404613</v>
      </c>
      <c r="D7" s="2">
        <v>23254</v>
      </c>
      <c r="E7" s="2">
        <v>387620</v>
      </c>
      <c r="F7" s="10">
        <f t="shared" si="0"/>
        <v>792233</v>
      </c>
      <c r="G7" s="10">
        <f t="shared" si="1"/>
        <v>46422</v>
      </c>
    </row>
    <row r="8" spans="1:7" x14ac:dyDescent="0.25">
      <c r="A8" s="149">
        <v>41061</v>
      </c>
      <c r="B8" s="2">
        <v>22640</v>
      </c>
      <c r="C8" s="2">
        <v>416564</v>
      </c>
      <c r="D8" s="2">
        <v>22569</v>
      </c>
      <c r="E8" s="2">
        <v>377825</v>
      </c>
      <c r="F8" s="10">
        <f t="shared" si="0"/>
        <v>794389</v>
      </c>
      <c r="G8" s="10">
        <f t="shared" si="1"/>
        <v>45209</v>
      </c>
    </row>
    <row r="9" spans="1:7" x14ac:dyDescent="0.25">
      <c r="A9" s="149">
        <v>41091</v>
      </c>
      <c r="B9" s="2">
        <v>24245</v>
      </c>
      <c r="C9" s="2">
        <v>530284</v>
      </c>
      <c r="D9" s="2">
        <v>24307</v>
      </c>
      <c r="E9" s="2">
        <v>482250</v>
      </c>
      <c r="F9" s="10">
        <f t="shared" si="0"/>
        <v>1012534</v>
      </c>
      <c r="G9" s="10">
        <f t="shared" si="1"/>
        <v>48552</v>
      </c>
    </row>
    <row r="10" spans="1:7" x14ac:dyDescent="0.25">
      <c r="A10" s="149">
        <v>41122</v>
      </c>
      <c r="B10" s="2">
        <v>23123</v>
      </c>
      <c r="C10" s="2">
        <v>410537</v>
      </c>
      <c r="D10" s="2">
        <v>23135</v>
      </c>
      <c r="E10" s="2">
        <v>387882</v>
      </c>
      <c r="F10" s="10">
        <f t="shared" si="0"/>
        <v>798419</v>
      </c>
      <c r="G10" s="10">
        <f t="shared" si="1"/>
        <v>46258</v>
      </c>
    </row>
    <row r="11" spans="1:7" x14ac:dyDescent="0.25">
      <c r="A11" s="149">
        <v>41153</v>
      </c>
      <c r="B11" s="2">
        <v>22745</v>
      </c>
      <c r="C11" s="2">
        <v>437488</v>
      </c>
      <c r="D11" s="2">
        <v>22838</v>
      </c>
      <c r="E11" s="2">
        <v>403046</v>
      </c>
      <c r="F11" s="10">
        <f t="shared" si="0"/>
        <v>840534</v>
      </c>
      <c r="G11" s="10">
        <f t="shared" si="1"/>
        <v>45583</v>
      </c>
    </row>
    <row r="12" spans="1:7" x14ac:dyDescent="0.25">
      <c r="A12" s="149">
        <v>41183</v>
      </c>
      <c r="B12" s="2">
        <v>23870</v>
      </c>
      <c r="C12" s="2">
        <v>464513</v>
      </c>
      <c r="D12" s="2">
        <v>24022</v>
      </c>
      <c r="E12" s="2">
        <v>435451</v>
      </c>
      <c r="F12" s="10">
        <f t="shared" si="0"/>
        <v>899964</v>
      </c>
      <c r="G12" s="10">
        <f t="shared" si="1"/>
        <v>47892</v>
      </c>
    </row>
    <row r="13" spans="1:7" x14ac:dyDescent="0.25">
      <c r="A13" s="149">
        <v>41214</v>
      </c>
      <c r="B13" s="2">
        <v>22765</v>
      </c>
      <c r="C13" s="2">
        <v>432874</v>
      </c>
      <c r="D13" s="2">
        <v>22533</v>
      </c>
      <c r="E13" s="2">
        <v>396561</v>
      </c>
      <c r="F13" s="10">
        <f t="shared" si="0"/>
        <v>829435</v>
      </c>
      <c r="G13" s="10">
        <f t="shared" si="1"/>
        <v>45298</v>
      </c>
    </row>
    <row r="14" spans="1:7" x14ac:dyDescent="0.25">
      <c r="A14" s="149">
        <v>41244</v>
      </c>
      <c r="B14" s="2">
        <v>23988</v>
      </c>
      <c r="C14" s="2">
        <v>536951</v>
      </c>
      <c r="D14" s="2">
        <v>22659</v>
      </c>
      <c r="E14" s="2">
        <v>429610</v>
      </c>
      <c r="F14" s="10">
        <f t="shared" si="0"/>
        <v>966561</v>
      </c>
      <c r="G14" s="10">
        <f t="shared" si="1"/>
        <v>46647</v>
      </c>
    </row>
    <row r="15" spans="1:7" x14ac:dyDescent="0.25">
      <c r="A15" s="149">
        <v>41275</v>
      </c>
      <c r="B15" s="2">
        <v>24862</v>
      </c>
      <c r="C15" s="2">
        <v>503688</v>
      </c>
      <c r="D15" s="2">
        <v>24862</v>
      </c>
      <c r="E15" s="2">
        <v>516119</v>
      </c>
      <c r="F15" s="10">
        <f t="shared" si="0"/>
        <v>1019807</v>
      </c>
      <c r="G15" s="10">
        <f t="shared" si="1"/>
        <v>49724</v>
      </c>
    </row>
    <row r="16" spans="1:7" x14ac:dyDescent="0.25">
      <c r="A16" s="149">
        <v>41306</v>
      </c>
      <c r="B16" s="2">
        <v>22079</v>
      </c>
      <c r="C16" s="2">
        <v>437644</v>
      </c>
      <c r="D16" s="2">
        <v>21542</v>
      </c>
      <c r="E16" s="2">
        <v>399637</v>
      </c>
      <c r="F16" s="10">
        <f t="shared" si="0"/>
        <v>837281</v>
      </c>
      <c r="G16" s="10">
        <f t="shared" si="1"/>
        <v>43621</v>
      </c>
    </row>
    <row r="17" spans="1:7" x14ac:dyDescent="0.25">
      <c r="A17" s="149">
        <v>41334</v>
      </c>
      <c r="B17" s="2">
        <v>23328</v>
      </c>
      <c r="C17" s="2">
        <v>443844</v>
      </c>
      <c r="D17" s="2">
        <v>22258</v>
      </c>
      <c r="E17" s="2">
        <v>365431</v>
      </c>
      <c r="F17" s="10">
        <f t="shared" si="0"/>
        <v>809275</v>
      </c>
      <c r="G17" s="10">
        <f t="shared" si="1"/>
        <v>45586</v>
      </c>
    </row>
    <row r="18" spans="1:7" x14ac:dyDescent="0.25">
      <c r="A18" s="149">
        <v>41365</v>
      </c>
      <c r="B18" s="2">
        <v>21033</v>
      </c>
      <c r="C18" s="2">
        <v>386830</v>
      </c>
      <c r="D18" s="2">
        <v>21488</v>
      </c>
      <c r="E18" s="2">
        <v>362271</v>
      </c>
      <c r="F18" s="10">
        <f t="shared" si="0"/>
        <v>749101</v>
      </c>
      <c r="G18" s="10">
        <f t="shared" si="1"/>
        <v>42521</v>
      </c>
    </row>
    <row r="19" spans="1:7" x14ac:dyDescent="0.25">
      <c r="A19" s="149">
        <v>41395</v>
      </c>
      <c r="B19" s="2">
        <v>22972</v>
      </c>
      <c r="C19" s="2">
        <v>439757</v>
      </c>
      <c r="D19" s="2">
        <v>21971</v>
      </c>
      <c r="E19" s="2">
        <v>372529</v>
      </c>
      <c r="F19" s="10">
        <f t="shared" si="0"/>
        <v>812286</v>
      </c>
      <c r="G19" s="10">
        <f t="shared" si="1"/>
        <v>44943</v>
      </c>
    </row>
    <row r="20" spans="1:7" x14ac:dyDescent="0.25">
      <c r="A20" s="149">
        <v>41426</v>
      </c>
      <c r="B20" s="2">
        <v>21698</v>
      </c>
      <c r="C20" s="2">
        <v>388327</v>
      </c>
      <c r="D20" s="2">
        <v>21010</v>
      </c>
      <c r="E20" s="2">
        <v>348936</v>
      </c>
      <c r="F20" s="10">
        <f t="shared" si="0"/>
        <v>737263</v>
      </c>
      <c r="G20" s="10">
        <f t="shared" si="1"/>
        <v>42708</v>
      </c>
    </row>
    <row r="21" spans="1:7" x14ac:dyDescent="0.25">
      <c r="A21" s="149">
        <v>41456</v>
      </c>
      <c r="B21" s="2">
        <v>23693</v>
      </c>
      <c r="C21" s="2">
        <v>508940</v>
      </c>
      <c r="D21" s="2">
        <v>22965</v>
      </c>
      <c r="E21" s="2">
        <v>448515</v>
      </c>
      <c r="F21" s="10">
        <f t="shared" si="0"/>
        <v>957455</v>
      </c>
      <c r="G21" s="10">
        <f t="shared" si="1"/>
        <v>46658</v>
      </c>
    </row>
    <row r="22" spans="1:7" x14ac:dyDescent="0.25">
      <c r="A22" s="149">
        <v>41487</v>
      </c>
      <c r="B22" s="2">
        <v>22770</v>
      </c>
      <c r="C22" s="2">
        <v>435541</v>
      </c>
      <c r="D22" s="2">
        <v>22262</v>
      </c>
      <c r="E22" s="2">
        <v>400971</v>
      </c>
      <c r="F22" s="10">
        <f t="shared" si="0"/>
        <v>836512</v>
      </c>
      <c r="G22" s="10">
        <f t="shared" si="1"/>
        <v>45032</v>
      </c>
    </row>
    <row r="23" spans="1:7" x14ac:dyDescent="0.25">
      <c r="A23" s="149">
        <v>41518</v>
      </c>
      <c r="B23" s="2">
        <v>22066</v>
      </c>
      <c r="C23" s="2">
        <v>405497</v>
      </c>
      <c r="D23" s="2">
        <v>21701</v>
      </c>
      <c r="E23" s="2">
        <v>390820</v>
      </c>
      <c r="F23" s="10">
        <f t="shared" si="0"/>
        <v>796317</v>
      </c>
      <c r="G23" s="10">
        <f t="shared" si="1"/>
        <v>43767</v>
      </c>
    </row>
    <row r="24" spans="1:7" x14ac:dyDescent="0.25">
      <c r="A24" s="149">
        <v>41548</v>
      </c>
      <c r="B24" s="2">
        <v>22980</v>
      </c>
      <c r="C24" s="2">
        <v>412369</v>
      </c>
      <c r="D24" s="2">
        <v>22433</v>
      </c>
      <c r="E24" s="2">
        <v>397541</v>
      </c>
      <c r="F24" s="10">
        <f t="shared" si="0"/>
        <v>809910</v>
      </c>
      <c r="G24" s="10">
        <f t="shared" si="1"/>
        <v>45413</v>
      </c>
    </row>
    <row r="25" spans="1:7" x14ac:dyDescent="0.25">
      <c r="A25" s="149">
        <v>41579</v>
      </c>
      <c r="B25" s="2">
        <v>22415</v>
      </c>
      <c r="C25" s="2">
        <v>421809</v>
      </c>
      <c r="D25" s="2">
        <v>21983</v>
      </c>
      <c r="E25" s="2">
        <v>381066</v>
      </c>
      <c r="F25" s="10">
        <f t="shared" si="0"/>
        <v>802875</v>
      </c>
      <c r="G25" s="10">
        <f t="shared" si="1"/>
        <v>44398</v>
      </c>
    </row>
    <row r="26" spans="1:7" x14ac:dyDescent="0.25">
      <c r="A26" s="149">
        <v>41609</v>
      </c>
      <c r="B26" s="2">
        <v>24945</v>
      </c>
      <c r="C26" s="2">
        <v>515278</v>
      </c>
      <c r="D26" s="2">
        <v>23340</v>
      </c>
      <c r="E26" s="2">
        <v>443950</v>
      </c>
      <c r="F26" s="10">
        <f t="shared" si="0"/>
        <v>959228</v>
      </c>
      <c r="G26" s="10">
        <f t="shared" si="1"/>
        <v>48285</v>
      </c>
    </row>
    <row r="27" spans="1:7" x14ac:dyDescent="0.25">
      <c r="A27" s="149">
        <v>41640</v>
      </c>
      <c r="B27" s="2">
        <v>22537</v>
      </c>
      <c r="C27" s="2">
        <v>451329</v>
      </c>
      <c r="D27" s="2">
        <v>22351</v>
      </c>
      <c r="E27" s="2">
        <v>442060</v>
      </c>
      <c r="F27" s="10">
        <f t="shared" si="0"/>
        <v>893389</v>
      </c>
      <c r="G27" s="10">
        <f t="shared" si="1"/>
        <v>44888</v>
      </c>
    </row>
    <row r="28" spans="1:7" x14ac:dyDescent="0.25">
      <c r="A28" s="149">
        <v>41671</v>
      </c>
      <c r="B28" s="2">
        <v>21186</v>
      </c>
      <c r="C28" s="2">
        <v>397272</v>
      </c>
      <c r="D28" s="2">
        <v>19945</v>
      </c>
      <c r="E28" s="2">
        <v>310253</v>
      </c>
      <c r="F28" s="10">
        <f t="shared" si="0"/>
        <v>707525</v>
      </c>
      <c r="G28" s="10">
        <f t="shared" si="1"/>
        <v>41131</v>
      </c>
    </row>
    <row r="29" spans="1:7" x14ac:dyDescent="0.25">
      <c r="A29" s="149">
        <v>41699</v>
      </c>
      <c r="B29" s="2">
        <v>22909</v>
      </c>
      <c r="C29" s="2">
        <v>428566</v>
      </c>
      <c r="D29" s="2">
        <v>23041</v>
      </c>
      <c r="E29" s="2">
        <v>426253</v>
      </c>
      <c r="F29" s="10">
        <f t="shared" si="0"/>
        <v>854819</v>
      </c>
      <c r="G29" s="10">
        <f t="shared" si="1"/>
        <v>45950</v>
      </c>
    </row>
    <row r="30" spans="1:7" x14ac:dyDescent="0.25">
      <c r="A30" s="149">
        <v>41730</v>
      </c>
      <c r="B30" s="2">
        <v>22529</v>
      </c>
      <c r="C30" s="2">
        <v>459926</v>
      </c>
      <c r="D30" s="2">
        <v>21975</v>
      </c>
      <c r="E30" s="2">
        <v>407898</v>
      </c>
      <c r="F30" s="10">
        <f t="shared" si="0"/>
        <v>867824</v>
      </c>
      <c r="G30" s="10">
        <f t="shared" si="1"/>
        <v>44504</v>
      </c>
    </row>
    <row r="31" spans="1:7" x14ac:dyDescent="0.25">
      <c r="A31" s="149">
        <v>41760</v>
      </c>
      <c r="B31" s="2">
        <v>22032</v>
      </c>
      <c r="C31" s="2">
        <v>405365</v>
      </c>
      <c r="D31" s="2">
        <v>21611</v>
      </c>
      <c r="E31" s="2">
        <v>368611</v>
      </c>
      <c r="F31" s="10">
        <f t="shared" si="0"/>
        <v>773976</v>
      </c>
      <c r="G31" s="10">
        <f t="shared" si="1"/>
        <v>43643</v>
      </c>
    </row>
    <row r="32" spans="1:7" x14ac:dyDescent="0.25">
      <c r="A32" s="149">
        <v>41791</v>
      </c>
      <c r="B32" s="2">
        <v>22022</v>
      </c>
      <c r="C32" s="2">
        <v>444411</v>
      </c>
      <c r="D32" s="2">
        <v>21725</v>
      </c>
      <c r="E32" s="2">
        <v>393530</v>
      </c>
      <c r="F32" s="10">
        <f t="shared" si="0"/>
        <v>837941</v>
      </c>
      <c r="G32" s="10">
        <f t="shared" si="1"/>
        <v>43747</v>
      </c>
    </row>
    <row r="33" spans="1:7" x14ac:dyDescent="0.25">
      <c r="A33" s="149">
        <v>41821</v>
      </c>
      <c r="B33" s="2">
        <v>22366</v>
      </c>
      <c r="C33" s="2">
        <v>435921</v>
      </c>
      <c r="D33" s="2">
        <v>22127</v>
      </c>
      <c r="E33" s="2">
        <v>408373</v>
      </c>
      <c r="F33" s="10">
        <f t="shared" si="0"/>
        <v>844294</v>
      </c>
      <c r="G33" s="10">
        <f t="shared" si="1"/>
        <v>44493</v>
      </c>
    </row>
    <row r="34" spans="1:7" x14ac:dyDescent="0.25">
      <c r="A34" s="149">
        <v>41852</v>
      </c>
      <c r="B34" s="2">
        <v>22295</v>
      </c>
      <c r="C34" s="2">
        <v>437397</v>
      </c>
      <c r="D34" s="2">
        <v>21807</v>
      </c>
      <c r="E34" s="2">
        <v>392947</v>
      </c>
      <c r="F34" s="10">
        <f t="shared" si="0"/>
        <v>830344</v>
      </c>
      <c r="G34" s="10">
        <f t="shared" si="1"/>
        <v>44102</v>
      </c>
    </row>
    <row r="35" spans="1:7" x14ac:dyDescent="0.25">
      <c r="A35" s="149">
        <v>41883</v>
      </c>
      <c r="B35" s="2">
        <v>21021</v>
      </c>
      <c r="C35" s="2">
        <v>401301</v>
      </c>
      <c r="D35" s="2">
        <v>20583</v>
      </c>
      <c r="E35" s="2">
        <v>359629</v>
      </c>
      <c r="F35" s="10">
        <f t="shared" si="0"/>
        <v>760930</v>
      </c>
      <c r="G35" s="10">
        <f t="shared" si="1"/>
        <v>41604</v>
      </c>
    </row>
    <row r="36" spans="1:7" x14ac:dyDescent="0.25">
      <c r="A36" s="149">
        <v>41913</v>
      </c>
      <c r="B36" s="2">
        <v>22203</v>
      </c>
      <c r="C36" s="2">
        <v>437551</v>
      </c>
      <c r="D36" s="2">
        <v>21707</v>
      </c>
      <c r="E36" s="2">
        <v>391961</v>
      </c>
      <c r="F36" s="10">
        <f t="shared" si="0"/>
        <v>829512</v>
      </c>
      <c r="G36" s="10">
        <f t="shared" si="1"/>
        <v>43910</v>
      </c>
    </row>
    <row r="37" spans="1:7" x14ac:dyDescent="0.25">
      <c r="A37" s="149">
        <v>41944</v>
      </c>
      <c r="B37" s="2">
        <v>21159</v>
      </c>
      <c r="C37" s="2">
        <v>388967</v>
      </c>
      <c r="D37" s="2">
        <v>20705</v>
      </c>
      <c r="E37" s="2">
        <v>349961</v>
      </c>
      <c r="F37" s="10">
        <f t="shared" si="0"/>
        <v>738928</v>
      </c>
      <c r="G37" s="10">
        <f t="shared" si="1"/>
        <v>41864</v>
      </c>
    </row>
    <row r="38" spans="1:7" x14ac:dyDescent="0.25">
      <c r="A38" s="149">
        <v>41974</v>
      </c>
      <c r="B38" s="2">
        <v>24430</v>
      </c>
      <c r="C38" s="2">
        <v>553953</v>
      </c>
      <c r="D38" s="2">
        <v>23068</v>
      </c>
      <c r="E38" s="2">
        <v>446014</v>
      </c>
      <c r="F38" s="10">
        <f t="shared" si="0"/>
        <v>999967</v>
      </c>
      <c r="G38" s="10">
        <f t="shared" si="1"/>
        <v>47498</v>
      </c>
    </row>
    <row r="39" spans="1:7" x14ac:dyDescent="0.25">
      <c r="A39" s="149">
        <v>42005</v>
      </c>
      <c r="B39" s="2">
        <v>23028</v>
      </c>
      <c r="C39" s="2">
        <v>475417</v>
      </c>
      <c r="D39" s="2">
        <v>23051</v>
      </c>
      <c r="E39" s="2">
        <v>486765</v>
      </c>
      <c r="F39" s="10">
        <f t="shared" si="0"/>
        <v>962182</v>
      </c>
      <c r="G39" s="10">
        <f t="shared" si="1"/>
        <v>46079</v>
      </c>
    </row>
    <row r="40" spans="1:7" x14ac:dyDescent="0.25">
      <c r="A40" s="149">
        <v>42036</v>
      </c>
      <c r="B40" s="2">
        <v>20568</v>
      </c>
      <c r="C40" s="2">
        <v>398492</v>
      </c>
      <c r="D40" s="2">
        <v>20066</v>
      </c>
      <c r="E40" s="2">
        <v>369881</v>
      </c>
      <c r="F40" s="10">
        <f t="shared" si="0"/>
        <v>768373</v>
      </c>
      <c r="G40" s="10">
        <f t="shared" si="1"/>
        <v>40634</v>
      </c>
    </row>
    <row r="41" spans="1:7" x14ac:dyDescent="0.25">
      <c r="A41" s="149">
        <v>42064</v>
      </c>
      <c r="B41" s="2">
        <v>21250</v>
      </c>
      <c r="C41" s="2">
        <v>366097</v>
      </c>
      <c r="D41" s="2">
        <v>20686</v>
      </c>
      <c r="E41" s="2">
        <v>325524</v>
      </c>
      <c r="F41" s="10">
        <f t="shared" si="0"/>
        <v>691621</v>
      </c>
      <c r="G41" s="10">
        <f t="shared" si="1"/>
        <v>41936</v>
      </c>
    </row>
    <row r="42" spans="1:7" x14ac:dyDescent="0.25">
      <c r="A42" s="149">
        <v>42095</v>
      </c>
      <c r="B42" s="2">
        <v>21708</v>
      </c>
      <c r="C42" s="2">
        <v>417850</v>
      </c>
      <c r="D42" s="2">
        <v>20924</v>
      </c>
      <c r="E42" s="2">
        <v>372460</v>
      </c>
      <c r="F42" s="10">
        <f t="shared" si="0"/>
        <v>790310</v>
      </c>
      <c r="G42" s="10">
        <f t="shared" si="1"/>
        <v>42632</v>
      </c>
    </row>
    <row r="43" spans="1:7" x14ac:dyDescent="0.25">
      <c r="A43" s="149">
        <v>42125</v>
      </c>
      <c r="B43" s="2">
        <v>21456</v>
      </c>
      <c r="C43" s="2">
        <v>370417</v>
      </c>
      <c r="D43" s="2">
        <v>20494</v>
      </c>
      <c r="E43" s="2">
        <v>328172</v>
      </c>
      <c r="F43" s="10">
        <f t="shared" si="0"/>
        <v>698589</v>
      </c>
      <c r="G43" s="10">
        <f t="shared" si="1"/>
        <v>41950</v>
      </c>
    </row>
    <row r="44" spans="1:7" x14ac:dyDescent="0.25">
      <c r="A44" s="149">
        <v>42156</v>
      </c>
      <c r="B44" s="2">
        <v>20843</v>
      </c>
      <c r="C44" s="2">
        <v>364740</v>
      </c>
      <c r="D44" s="2">
        <v>20443</v>
      </c>
      <c r="E44" s="2">
        <v>330653</v>
      </c>
      <c r="F44" s="10">
        <f t="shared" si="0"/>
        <v>695393</v>
      </c>
      <c r="G44" s="10">
        <f t="shared" si="1"/>
        <v>41286</v>
      </c>
    </row>
    <row r="45" spans="1:7" x14ac:dyDescent="0.25">
      <c r="A45" s="149">
        <v>42186</v>
      </c>
      <c r="B45" s="2">
        <v>22120</v>
      </c>
      <c r="C45" s="2">
        <v>473335</v>
      </c>
      <c r="D45" s="2">
        <v>21385</v>
      </c>
      <c r="E45" s="2">
        <v>415214</v>
      </c>
      <c r="F45" s="10">
        <f t="shared" si="0"/>
        <v>888549</v>
      </c>
      <c r="G45" s="10">
        <f t="shared" si="1"/>
        <v>43505</v>
      </c>
    </row>
    <row r="46" spans="1:7" x14ac:dyDescent="0.25">
      <c r="A46" s="149">
        <v>42217</v>
      </c>
      <c r="B46" s="2">
        <v>21100</v>
      </c>
      <c r="C46" s="2">
        <v>379101</v>
      </c>
      <c r="D46" s="2">
        <v>20853</v>
      </c>
      <c r="E46" s="2">
        <v>360124</v>
      </c>
      <c r="F46" s="10">
        <f t="shared" si="0"/>
        <v>739225</v>
      </c>
      <c r="G46" s="10">
        <f t="shared" si="1"/>
        <v>41953</v>
      </c>
    </row>
    <row r="47" spans="1:7" x14ac:dyDescent="0.25">
      <c r="A47" s="149">
        <v>42248</v>
      </c>
      <c r="B47" s="2">
        <v>20562</v>
      </c>
      <c r="C47" s="2">
        <v>368066</v>
      </c>
      <c r="D47" s="2">
        <v>19928</v>
      </c>
      <c r="E47" s="2">
        <v>333284</v>
      </c>
      <c r="F47" s="10">
        <f t="shared" si="0"/>
        <v>701350</v>
      </c>
      <c r="G47" s="10">
        <f t="shared" si="1"/>
        <v>40490</v>
      </c>
    </row>
    <row r="48" spans="1:7" x14ac:dyDescent="0.25">
      <c r="A48" s="149">
        <v>42278</v>
      </c>
      <c r="B48" s="2">
        <v>21401</v>
      </c>
      <c r="C48" s="2">
        <v>420220</v>
      </c>
      <c r="D48" s="2">
        <v>20532</v>
      </c>
      <c r="E48" s="2">
        <v>368757</v>
      </c>
      <c r="F48" s="10">
        <f t="shared" si="0"/>
        <v>788977</v>
      </c>
      <c r="G48" s="10">
        <f t="shared" si="1"/>
        <v>41933</v>
      </c>
    </row>
    <row r="49" spans="1:7" x14ac:dyDescent="0.25">
      <c r="A49" s="149">
        <v>42309</v>
      </c>
      <c r="B49" s="2">
        <v>19602</v>
      </c>
      <c r="C49" s="2">
        <v>337044</v>
      </c>
      <c r="D49" s="2">
        <v>19335</v>
      </c>
      <c r="E49" s="2">
        <v>323177</v>
      </c>
      <c r="F49" s="10">
        <f t="shared" si="0"/>
        <v>660221</v>
      </c>
      <c r="G49" s="10">
        <f t="shared" si="1"/>
        <v>38937</v>
      </c>
    </row>
    <row r="50" spans="1:7" x14ac:dyDescent="0.25">
      <c r="A50" s="149">
        <v>42339</v>
      </c>
      <c r="B50" s="2">
        <v>22091</v>
      </c>
      <c r="C50" s="2">
        <v>496966</v>
      </c>
      <c r="D50" s="2">
        <v>21487</v>
      </c>
      <c r="E50" s="2">
        <v>425480</v>
      </c>
      <c r="F50" s="10">
        <f t="shared" si="0"/>
        <v>922446</v>
      </c>
      <c r="G50" s="10">
        <f t="shared" si="1"/>
        <v>43578</v>
      </c>
    </row>
    <row r="51" spans="1:7" x14ac:dyDescent="0.25">
      <c r="A51" s="149">
        <v>42370</v>
      </c>
      <c r="B51" s="2">
        <v>21377</v>
      </c>
      <c r="C51" s="2">
        <v>422267</v>
      </c>
      <c r="D51" s="2">
        <v>21555</v>
      </c>
      <c r="E51" s="2">
        <v>443520</v>
      </c>
      <c r="F51" s="10">
        <f t="shared" si="0"/>
        <v>865787</v>
      </c>
      <c r="G51" s="10">
        <f t="shared" si="1"/>
        <v>42932</v>
      </c>
    </row>
    <row r="52" spans="1:7" x14ac:dyDescent="0.25">
      <c r="A52" s="149">
        <v>42401</v>
      </c>
      <c r="B52" s="2">
        <v>19670</v>
      </c>
      <c r="C52" s="2">
        <v>359578</v>
      </c>
      <c r="D52" s="2">
        <v>19379</v>
      </c>
      <c r="E52" s="2">
        <v>346610</v>
      </c>
      <c r="F52" s="10">
        <f t="shared" si="0"/>
        <v>706188</v>
      </c>
      <c r="G52" s="10">
        <f t="shared" si="1"/>
        <v>39049</v>
      </c>
    </row>
    <row r="53" spans="1:7" x14ac:dyDescent="0.25">
      <c r="A53" s="149">
        <v>42430</v>
      </c>
      <c r="B53" s="2">
        <v>20547</v>
      </c>
      <c r="C53" s="2">
        <v>354740</v>
      </c>
      <c r="D53" s="2">
        <v>20129</v>
      </c>
      <c r="E53" s="2">
        <v>332740</v>
      </c>
      <c r="F53" s="10">
        <f t="shared" si="0"/>
        <v>687480</v>
      </c>
      <c r="G53" s="10">
        <f t="shared" si="1"/>
        <v>40676</v>
      </c>
    </row>
    <row r="54" spans="1:7" x14ac:dyDescent="0.25">
      <c r="A54" s="149">
        <v>42461</v>
      </c>
      <c r="B54" s="2">
        <v>19700</v>
      </c>
      <c r="C54" s="2">
        <v>331844</v>
      </c>
      <c r="D54" s="2">
        <v>18969</v>
      </c>
      <c r="E54" s="2">
        <v>304206</v>
      </c>
      <c r="F54" s="10">
        <f t="shared" si="0"/>
        <v>636050</v>
      </c>
      <c r="G54" s="10">
        <f t="shared" si="1"/>
        <v>38669</v>
      </c>
    </row>
    <row r="55" spans="1:7" x14ac:dyDescent="0.25">
      <c r="A55" s="149">
        <v>42491</v>
      </c>
      <c r="B55" s="2">
        <v>20240</v>
      </c>
      <c r="C55" s="2">
        <v>345387</v>
      </c>
      <c r="D55" s="2">
        <v>19920</v>
      </c>
      <c r="E55" s="2">
        <v>316366</v>
      </c>
      <c r="F55" s="10">
        <f t="shared" si="0"/>
        <v>661753</v>
      </c>
      <c r="G55" s="10">
        <f t="shared" si="1"/>
        <v>40160</v>
      </c>
    </row>
    <row r="56" spans="1:7" x14ac:dyDescent="0.25">
      <c r="A56" s="149">
        <v>42522</v>
      </c>
      <c r="B56" s="2">
        <v>19250</v>
      </c>
      <c r="C56" s="2">
        <v>292534</v>
      </c>
      <c r="D56" s="2">
        <v>18960</v>
      </c>
      <c r="E56" s="2">
        <v>270259</v>
      </c>
      <c r="F56" s="10">
        <f t="shared" si="0"/>
        <v>562793</v>
      </c>
      <c r="G56" s="10">
        <f t="shared" si="1"/>
        <v>38210</v>
      </c>
    </row>
    <row r="57" spans="1:7" x14ac:dyDescent="0.25">
      <c r="A57" s="149">
        <v>42552</v>
      </c>
      <c r="B57" s="2">
        <v>20644</v>
      </c>
      <c r="C57" s="2">
        <v>412006</v>
      </c>
      <c r="D57" s="2">
        <v>20284</v>
      </c>
      <c r="E57" s="2">
        <v>373131</v>
      </c>
      <c r="F57" s="10">
        <f t="shared" si="0"/>
        <v>785137</v>
      </c>
      <c r="G57" s="10">
        <f t="shared" si="1"/>
        <v>40928</v>
      </c>
    </row>
    <row r="58" spans="1:7" x14ac:dyDescent="0.25">
      <c r="A58" s="149">
        <v>42583</v>
      </c>
      <c r="B58" s="2">
        <v>20107</v>
      </c>
      <c r="C58" s="2">
        <v>330282</v>
      </c>
      <c r="D58" s="2">
        <v>19876</v>
      </c>
      <c r="E58" s="2">
        <v>320271</v>
      </c>
      <c r="F58" s="10">
        <f t="shared" si="0"/>
        <v>650553</v>
      </c>
      <c r="G58" s="10">
        <f t="shared" si="1"/>
        <v>39983</v>
      </c>
    </row>
    <row r="59" spans="1:7" x14ac:dyDescent="0.25">
      <c r="A59" s="149">
        <v>42614</v>
      </c>
      <c r="B59" s="2">
        <v>19358</v>
      </c>
      <c r="C59" s="2">
        <v>323052</v>
      </c>
      <c r="D59" s="2">
        <v>19001</v>
      </c>
      <c r="E59" s="2">
        <v>293743</v>
      </c>
      <c r="F59" s="10">
        <f t="shared" si="0"/>
        <v>616795</v>
      </c>
      <c r="G59" s="10">
        <f t="shared" si="1"/>
        <v>38359</v>
      </c>
    </row>
    <row r="60" spans="1:7" x14ac:dyDescent="0.25">
      <c r="A60" s="149">
        <v>42644</v>
      </c>
      <c r="B60" s="2">
        <v>20103</v>
      </c>
      <c r="C60" s="2">
        <v>348465</v>
      </c>
      <c r="D60" s="2">
        <v>19779</v>
      </c>
      <c r="E60" s="2">
        <v>326822</v>
      </c>
      <c r="F60" s="10">
        <f t="shared" si="0"/>
        <v>675287</v>
      </c>
      <c r="G60" s="10">
        <f t="shared" si="1"/>
        <v>39882</v>
      </c>
    </row>
    <row r="61" spans="1:7" x14ac:dyDescent="0.25">
      <c r="A61" s="149">
        <v>42675</v>
      </c>
      <c r="B61" s="2">
        <v>19347</v>
      </c>
      <c r="C61" s="2">
        <v>314533</v>
      </c>
      <c r="D61" s="2">
        <v>18817</v>
      </c>
      <c r="E61" s="2">
        <v>291169</v>
      </c>
      <c r="F61" s="10">
        <f t="shared" si="0"/>
        <v>605702</v>
      </c>
      <c r="G61" s="10">
        <f t="shared" si="1"/>
        <v>38164</v>
      </c>
    </row>
    <row r="62" spans="1:7" x14ac:dyDescent="0.25">
      <c r="A62" s="149">
        <v>42705</v>
      </c>
      <c r="B62" s="2">
        <v>21543</v>
      </c>
      <c r="C62" s="2">
        <v>446365</v>
      </c>
      <c r="D62" s="2">
        <v>20365</v>
      </c>
      <c r="E62" s="2">
        <v>367256</v>
      </c>
      <c r="F62" s="10">
        <f t="shared" si="0"/>
        <v>813621</v>
      </c>
      <c r="G62" s="10">
        <f t="shared" si="1"/>
        <v>41908</v>
      </c>
    </row>
    <row r="63" spans="1:7" x14ac:dyDescent="0.25">
      <c r="A63" s="149">
        <v>42736</v>
      </c>
      <c r="B63" s="2">
        <v>20986</v>
      </c>
      <c r="C63" s="2">
        <v>400211</v>
      </c>
      <c r="D63" s="2">
        <v>21470</v>
      </c>
      <c r="E63" s="2">
        <v>417237</v>
      </c>
      <c r="F63" s="10">
        <f t="shared" si="0"/>
        <v>817448</v>
      </c>
      <c r="G63" s="10">
        <f t="shared" si="1"/>
        <v>42456</v>
      </c>
    </row>
    <row r="64" spans="1:7" x14ac:dyDescent="0.25">
      <c r="A64" s="149">
        <v>42767</v>
      </c>
      <c r="B64" s="2">
        <v>18383</v>
      </c>
      <c r="C64" s="2">
        <v>312534</v>
      </c>
      <c r="D64" s="2">
        <v>17480</v>
      </c>
      <c r="E64" s="2">
        <v>269172</v>
      </c>
      <c r="F64" s="10">
        <f t="shared" si="0"/>
        <v>581706</v>
      </c>
      <c r="G64" s="10">
        <f t="shared" si="1"/>
        <v>35863</v>
      </c>
    </row>
    <row r="65" spans="1:7" x14ac:dyDescent="0.25">
      <c r="A65" s="149">
        <v>42795</v>
      </c>
      <c r="B65" s="2">
        <v>19785</v>
      </c>
      <c r="C65" s="2">
        <v>307065</v>
      </c>
      <c r="D65" s="2">
        <v>19738</v>
      </c>
      <c r="E65" s="2">
        <v>307450</v>
      </c>
      <c r="F65" s="10">
        <f t="shared" si="0"/>
        <v>614515</v>
      </c>
      <c r="G65" s="10">
        <f t="shared" si="1"/>
        <v>39523</v>
      </c>
    </row>
    <row r="66" spans="1:7" x14ac:dyDescent="0.25">
      <c r="A66" s="149">
        <v>42826</v>
      </c>
      <c r="B66" s="2">
        <v>20263</v>
      </c>
      <c r="C66" s="2">
        <v>364031</v>
      </c>
      <c r="D66" s="2">
        <v>20257</v>
      </c>
      <c r="E66" s="2">
        <v>342697</v>
      </c>
      <c r="F66" s="10">
        <f t="shared" si="0"/>
        <v>706728</v>
      </c>
      <c r="G66" s="10">
        <f t="shared" si="1"/>
        <v>40520</v>
      </c>
    </row>
    <row r="67" spans="1:7" x14ac:dyDescent="0.25">
      <c r="A67" s="150">
        <v>42856</v>
      </c>
      <c r="B67" s="2">
        <v>19515</v>
      </c>
      <c r="C67" s="2">
        <v>311479</v>
      </c>
      <c r="D67" s="2">
        <v>19151</v>
      </c>
      <c r="E67" s="2">
        <v>289478</v>
      </c>
      <c r="F67" s="10">
        <f t="shared" si="0"/>
        <v>600957</v>
      </c>
      <c r="G67" s="10">
        <f t="shared" si="1"/>
        <v>38666</v>
      </c>
    </row>
    <row r="68" spans="1:7" x14ac:dyDescent="0.25">
      <c r="A68" s="149">
        <v>42887</v>
      </c>
      <c r="B68" s="2">
        <v>19103</v>
      </c>
      <c r="C68" s="2">
        <v>315734</v>
      </c>
      <c r="D68" s="2">
        <v>18765</v>
      </c>
      <c r="E68" s="2">
        <v>286445</v>
      </c>
      <c r="F68" s="10">
        <f t="shared" ref="F68:F111" si="2">C68+E68</f>
        <v>602179</v>
      </c>
      <c r="G68" s="10">
        <f t="shared" ref="G68:G111" si="3">B68+D68</f>
        <v>37868</v>
      </c>
    </row>
    <row r="69" spans="1:7" x14ac:dyDescent="0.25">
      <c r="A69" s="149">
        <v>42917</v>
      </c>
      <c r="B69" s="2">
        <v>19720</v>
      </c>
      <c r="C69" s="2">
        <v>383014</v>
      </c>
      <c r="D69" s="2">
        <v>20817</v>
      </c>
      <c r="E69" s="2">
        <v>373701</v>
      </c>
      <c r="F69" s="10">
        <f t="shared" si="2"/>
        <v>756715</v>
      </c>
      <c r="G69" s="10">
        <f t="shared" si="3"/>
        <v>40537</v>
      </c>
    </row>
    <row r="70" spans="1:7" x14ac:dyDescent="0.25">
      <c r="A70" s="149">
        <v>42948</v>
      </c>
      <c r="B70" s="2">
        <v>19176</v>
      </c>
      <c r="C70" s="2">
        <v>306193</v>
      </c>
      <c r="D70" s="2">
        <v>20364</v>
      </c>
      <c r="E70" s="2">
        <v>318373</v>
      </c>
      <c r="F70" s="10">
        <f t="shared" si="2"/>
        <v>624566</v>
      </c>
      <c r="G70" s="10">
        <f t="shared" si="3"/>
        <v>39540</v>
      </c>
    </row>
    <row r="71" spans="1:7" x14ac:dyDescent="0.25">
      <c r="A71" s="149">
        <v>42979</v>
      </c>
      <c r="B71" s="2">
        <v>18986</v>
      </c>
      <c r="C71" s="2">
        <v>332205</v>
      </c>
      <c r="D71" s="2">
        <v>19833</v>
      </c>
      <c r="E71" s="2">
        <v>327980</v>
      </c>
      <c r="F71" s="10">
        <f t="shared" si="2"/>
        <v>660185</v>
      </c>
      <c r="G71" s="10">
        <f t="shared" si="3"/>
        <v>38819</v>
      </c>
    </row>
    <row r="72" spans="1:7" x14ac:dyDescent="0.25">
      <c r="A72" s="149">
        <v>43009</v>
      </c>
      <c r="B72" s="2">
        <v>19688</v>
      </c>
      <c r="C72" s="2">
        <v>352423</v>
      </c>
      <c r="D72" s="2">
        <v>19564</v>
      </c>
      <c r="E72" s="2">
        <v>329369</v>
      </c>
      <c r="F72" s="10">
        <f t="shared" si="2"/>
        <v>681792</v>
      </c>
      <c r="G72" s="10">
        <f t="shared" si="3"/>
        <v>39252</v>
      </c>
    </row>
    <row r="73" spans="1:7" x14ac:dyDescent="0.25">
      <c r="A73" s="149">
        <v>43040</v>
      </c>
      <c r="B73" s="2">
        <v>18672</v>
      </c>
      <c r="C73" s="2">
        <v>307568</v>
      </c>
      <c r="D73" s="2">
        <v>18304</v>
      </c>
      <c r="E73" s="2">
        <v>248659</v>
      </c>
      <c r="F73" s="10">
        <f t="shared" si="2"/>
        <v>556227</v>
      </c>
      <c r="G73" s="10">
        <f t="shared" si="3"/>
        <v>36976</v>
      </c>
    </row>
    <row r="74" spans="1:7" x14ac:dyDescent="0.25">
      <c r="A74" s="149">
        <v>43070</v>
      </c>
      <c r="B74" s="2">
        <v>20907</v>
      </c>
      <c r="C74" s="2">
        <v>447825</v>
      </c>
      <c r="D74" s="2">
        <v>19908</v>
      </c>
      <c r="E74" s="2">
        <v>376194</v>
      </c>
      <c r="F74" s="10">
        <f t="shared" si="2"/>
        <v>824019</v>
      </c>
      <c r="G74" s="10">
        <f t="shared" si="3"/>
        <v>40815</v>
      </c>
    </row>
    <row r="75" spans="1:7" x14ac:dyDescent="0.25">
      <c r="A75" s="149">
        <v>43101</v>
      </c>
      <c r="B75" s="2">
        <v>20495</v>
      </c>
      <c r="C75" s="2">
        <v>404742</v>
      </c>
      <c r="D75" s="2">
        <v>20519</v>
      </c>
      <c r="E75" s="2">
        <v>414466</v>
      </c>
      <c r="F75" s="10">
        <f t="shared" si="2"/>
        <v>819208</v>
      </c>
      <c r="G75" s="10">
        <f t="shared" si="3"/>
        <v>41014</v>
      </c>
    </row>
    <row r="76" spans="1:7" x14ac:dyDescent="0.25">
      <c r="A76" s="149">
        <v>43132</v>
      </c>
      <c r="B76" s="2">
        <v>17948</v>
      </c>
      <c r="C76" s="2">
        <v>326680</v>
      </c>
      <c r="D76" s="2">
        <v>17888</v>
      </c>
      <c r="E76" s="2">
        <v>317324</v>
      </c>
      <c r="F76" s="10">
        <f t="shared" si="2"/>
        <v>644004</v>
      </c>
      <c r="G76" s="10">
        <f t="shared" si="3"/>
        <v>35836</v>
      </c>
    </row>
    <row r="77" spans="1:7" x14ac:dyDescent="0.25">
      <c r="A77" s="149">
        <v>43160</v>
      </c>
      <c r="B77" s="2">
        <v>19317</v>
      </c>
      <c r="C77" s="2">
        <v>335033</v>
      </c>
      <c r="D77" s="2">
        <v>18817</v>
      </c>
      <c r="E77" s="2">
        <v>292365</v>
      </c>
      <c r="F77" s="10">
        <f t="shared" si="2"/>
        <v>627398</v>
      </c>
      <c r="G77" s="10">
        <f t="shared" si="3"/>
        <v>38134</v>
      </c>
    </row>
    <row r="78" spans="1:7" x14ac:dyDescent="0.25">
      <c r="A78" s="149">
        <v>43191</v>
      </c>
      <c r="B78" s="2">
        <v>18646</v>
      </c>
      <c r="C78" s="2">
        <v>324865</v>
      </c>
      <c r="D78" s="2">
        <v>18647</v>
      </c>
      <c r="E78" s="2">
        <v>316228</v>
      </c>
      <c r="F78" s="10">
        <f t="shared" si="2"/>
        <v>641093</v>
      </c>
      <c r="G78" s="10">
        <f t="shared" si="3"/>
        <v>37293</v>
      </c>
    </row>
    <row r="79" spans="1:7" x14ac:dyDescent="0.25">
      <c r="A79" s="149">
        <v>43221</v>
      </c>
      <c r="B79" s="2">
        <v>18426</v>
      </c>
      <c r="C79" s="2">
        <v>329286</v>
      </c>
      <c r="D79" s="2">
        <v>18223</v>
      </c>
      <c r="E79" s="2">
        <v>304435</v>
      </c>
      <c r="F79" s="10">
        <f t="shared" si="2"/>
        <v>633721</v>
      </c>
      <c r="G79" s="10">
        <f t="shared" si="3"/>
        <v>36649</v>
      </c>
    </row>
    <row r="80" spans="1:7" x14ac:dyDescent="0.25">
      <c r="A80" s="149">
        <v>43252</v>
      </c>
      <c r="B80" s="2">
        <v>18161</v>
      </c>
      <c r="C80" s="2">
        <v>311013</v>
      </c>
      <c r="D80" s="2">
        <v>17993</v>
      </c>
      <c r="E80" s="2">
        <v>296917</v>
      </c>
      <c r="F80" s="10">
        <f t="shared" si="2"/>
        <v>607930</v>
      </c>
      <c r="G80" s="10">
        <f t="shared" si="3"/>
        <v>36154</v>
      </c>
    </row>
    <row r="81" spans="1:7" x14ac:dyDescent="0.25">
      <c r="A81" s="149">
        <v>43282</v>
      </c>
      <c r="B81" s="2">
        <v>19397</v>
      </c>
      <c r="C81" s="2">
        <v>410791</v>
      </c>
      <c r="D81" s="2">
        <v>19360</v>
      </c>
      <c r="E81" s="2">
        <v>383746</v>
      </c>
      <c r="F81" s="10">
        <f t="shared" si="2"/>
        <v>794537</v>
      </c>
      <c r="G81" s="10">
        <f t="shared" si="3"/>
        <v>38757</v>
      </c>
    </row>
    <row r="82" spans="1:7" x14ac:dyDescent="0.25">
      <c r="A82" s="149">
        <v>43313</v>
      </c>
      <c r="B82" s="2">
        <v>18933</v>
      </c>
      <c r="C82" s="2">
        <v>332367</v>
      </c>
      <c r="D82" s="2">
        <v>18806</v>
      </c>
      <c r="E82" s="2">
        <v>320650</v>
      </c>
      <c r="F82" s="10">
        <f t="shared" si="2"/>
        <v>653017</v>
      </c>
      <c r="G82" s="10">
        <f t="shared" si="3"/>
        <v>37739</v>
      </c>
    </row>
    <row r="83" spans="1:7" x14ac:dyDescent="0.25">
      <c r="A83" s="149">
        <v>43344</v>
      </c>
      <c r="B83" s="2">
        <v>18625</v>
      </c>
      <c r="C83" s="2">
        <v>351410</v>
      </c>
      <c r="D83" s="2">
        <v>18553</v>
      </c>
      <c r="E83" s="2">
        <v>329959</v>
      </c>
      <c r="F83" s="10">
        <f t="shared" si="2"/>
        <v>681369</v>
      </c>
      <c r="G83" s="10">
        <f t="shared" si="3"/>
        <v>37178</v>
      </c>
    </row>
    <row r="84" spans="1:7" x14ac:dyDescent="0.25">
      <c r="A84" s="149">
        <v>43374</v>
      </c>
      <c r="B84" s="2">
        <v>19372</v>
      </c>
      <c r="C84" s="2">
        <v>370971</v>
      </c>
      <c r="D84" s="2">
        <v>19320</v>
      </c>
      <c r="E84" s="2">
        <v>349946</v>
      </c>
      <c r="F84" s="10">
        <f t="shared" si="2"/>
        <v>720917</v>
      </c>
      <c r="G84" s="10">
        <f t="shared" si="3"/>
        <v>38692</v>
      </c>
    </row>
    <row r="85" spans="1:7" x14ac:dyDescent="0.25">
      <c r="A85" s="149">
        <v>43405</v>
      </c>
      <c r="B85" s="2">
        <v>18984</v>
      </c>
      <c r="C85" s="2">
        <v>389519</v>
      </c>
      <c r="D85" s="2">
        <v>18267</v>
      </c>
      <c r="E85" s="2">
        <v>317537</v>
      </c>
      <c r="F85" s="10">
        <f t="shared" si="2"/>
        <v>707056</v>
      </c>
      <c r="G85" s="10">
        <f t="shared" si="3"/>
        <v>37251</v>
      </c>
    </row>
    <row r="86" spans="1:7" x14ac:dyDescent="0.25">
      <c r="A86" s="149">
        <v>43435</v>
      </c>
      <c r="B86" s="2">
        <v>20070</v>
      </c>
      <c r="C86" s="2">
        <v>450738</v>
      </c>
      <c r="D86" s="2">
        <v>19509</v>
      </c>
      <c r="E86" s="2">
        <v>391770</v>
      </c>
      <c r="F86" s="10">
        <f t="shared" si="2"/>
        <v>842508</v>
      </c>
      <c r="G86" s="10">
        <f t="shared" si="3"/>
        <v>39579</v>
      </c>
    </row>
    <row r="87" spans="1:7" x14ac:dyDescent="0.25">
      <c r="A87" s="149">
        <v>43466</v>
      </c>
      <c r="B87" s="2">
        <v>19756</v>
      </c>
      <c r="C87" s="2">
        <v>428711</v>
      </c>
      <c r="D87" s="2">
        <v>19922</v>
      </c>
      <c r="E87" s="2">
        <v>438285</v>
      </c>
      <c r="F87" s="10">
        <f t="shared" si="2"/>
        <v>866996</v>
      </c>
      <c r="G87" s="10">
        <f t="shared" si="3"/>
        <v>39678</v>
      </c>
    </row>
    <row r="88" spans="1:7" x14ac:dyDescent="0.25">
      <c r="A88" s="149">
        <v>43497</v>
      </c>
      <c r="B88" s="2">
        <v>17332</v>
      </c>
      <c r="C88" s="2">
        <v>339747</v>
      </c>
      <c r="D88" s="2">
        <v>17164</v>
      </c>
      <c r="E88" s="2">
        <v>326157</v>
      </c>
      <c r="F88" s="10">
        <f t="shared" si="2"/>
        <v>665904</v>
      </c>
      <c r="G88" s="10">
        <f t="shared" si="3"/>
        <v>34496</v>
      </c>
    </row>
    <row r="89" spans="1:7" x14ac:dyDescent="0.25">
      <c r="A89" s="149">
        <v>43525</v>
      </c>
      <c r="B89" s="2">
        <v>19614</v>
      </c>
      <c r="C89" s="2">
        <v>353052</v>
      </c>
      <c r="D89" s="2">
        <v>19317</v>
      </c>
      <c r="E89" s="2">
        <v>341619</v>
      </c>
      <c r="F89" s="10">
        <f t="shared" si="2"/>
        <v>694671</v>
      </c>
      <c r="G89" s="10">
        <f t="shared" si="3"/>
        <v>38931</v>
      </c>
    </row>
    <row r="90" spans="1:7" x14ac:dyDescent="0.25">
      <c r="A90" s="149">
        <v>43556</v>
      </c>
      <c r="B90" s="2">
        <v>18745</v>
      </c>
      <c r="C90" s="2">
        <v>335437</v>
      </c>
      <c r="D90" s="2">
        <v>18604</v>
      </c>
      <c r="E90" s="2">
        <v>321529</v>
      </c>
      <c r="F90" s="10">
        <f t="shared" si="2"/>
        <v>656966</v>
      </c>
      <c r="G90" s="10">
        <f t="shared" si="3"/>
        <v>37349</v>
      </c>
    </row>
    <row r="91" spans="1:7" x14ac:dyDescent="0.25">
      <c r="A91" s="149">
        <v>43586</v>
      </c>
      <c r="B91" s="2">
        <v>18868</v>
      </c>
      <c r="C91" s="2">
        <v>331305</v>
      </c>
      <c r="D91" s="2">
        <v>18732</v>
      </c>
      <c r="E91" s="2">
        <v>307118</v>
      </c>
      <c r="F91" s="10">
        <f t="shared" si="2"/>
        <v>638423</v>
      </c>
      <c r="G91" s="10">
        <f t="shared" si="3"/>
        <v>37600</v>
      </c>
    </row>
    <row r="92" spans="1:7" x14ac:dyDescent="0.25">
      <c r="A92" s="149">
        <v>43617</v>
      </c>
      <c r="B92" s="2">
        <v>18420</v>
      </c>
      <c r="C92" s="2">
        <v>336256</v>
      </c>
      <c r="D92" s="2">
        <v>18247</v>
      </c>
      <c r="E92" s="2">
        <v>305988</v>
      </c>
      <c r="F92" s="10">
        <f t="shared" si="2"/>
        <v>642244</v>
      </c>
      <c r="G92" s="10">
        <f t="shared" si="3"/>
        <v>36667</v>
      </c>
    </row>
    <row r="93" spans="1:7" x14ac:dyDescent="0.25">
      <c r="A93" s="149">
        <v>43647</v>
      </c>
      <c r="B93" s="2">
        <v>19872</v>
      </c>
      <c r="C93" s="2">
        <v>433771</v>
      </c>
      <c r="D93" s="2">
        <v>19411</v>
      </c>
      <c r="E93" s="2">
        <v>383909</v>
      </c>
      <c r="F93" s="10">
        <f t="shared" si="2"/>
        <v>817680</v>
      </c>
      <c r="G93" s="10">
        <f t="shared" si="3"/>
        <v>39283</v>
      </c>
    </row>
    <row r="94" spans="1:7" x14ac:dyDescent="0.25">
      <c r="A94" s="149">
        <v>43678</v>
      </c>
      <c r="B94" s="2">
        <v>19264</v>
      </c>
      <c r="C94" s="2">
        <v>349899</v>
      </c>
      <c r="D94" s="2">
        <v>19067</v>
      </c>
      <c r="E94" s="2">
        <v>330883</v>
      </c>
      <c r="F94" s="10">
        <f t="shared" si="2"/>
        <v>680782</v>
      </c>
      <c r="G94" s="10">
        <f t="shared" si="3"/>
        <v>38331</v>
      </c>
    </row>
    <row r="95" spans="1:7" x14ac:dyDescent="0.25">
      <c r="A95" s="149">
        <v>43709</v>
      </c>
      <c r="B95" s="2">
        <v>18679</v>
      </c>
      <c r="C95" s="2">
        <v>354901</v>
      </c>
      <c r="D95" s="2">
        <v>18602</v>
      </c>
      <c r="E95" s="2">
        <v>319179</v>
      </c>
      <c r="F95" s="10">
        <f t="shared" si="2"/>
        <v>674080</v>
      </c>
      <c r="G95" s="10">
        <f t="shared" si="3"/>
        <v>37281</v>
      </c>
    </row>
    <row r="96" spans="1:7" x14ac:dyDescent="0.25">
      <c r="A96" s="149">
        <v>43739</v>
      </c>
      <c r="B96" s="2">
        <v>19554</v>
      </c>
      <c r="C96" s="2">
        <v>401377</v>
      </c>
      <c r="D96" s="2">
        <v>19362</v>
      </c>
      <c r="E96" s="2">
        <v>352660</v>
      </c>
      <c r="F96" s="10">
        <f t="shared" si="2"/>
        <v>754037</v>
      </c>
      <c r="G96" s="10">
        <f t="shared" si="3"/>
        <v>38916</v>
      </c>
    </row>
    <row r="97" spans="1:7" x14ac:dyDescent="0.25">
      <c r="A97" s="149">
        <v>43770</v>
      </c>
      <c r="B97" s="2">
        <v>18859</v>
      </c>
      <c r="C97" s="2">
        <v>339980</v>
      </c>
      <c r="D97" s="2">
        <v>18721</v>
      </c>
      <c r="E97" s="2">
        <v>331027</v>
      </c>
      <c r="F97" s="10">
        <f t="shared" si="2"/>
        <v>671007</v>
      </c>
      <c r="G97" s="10">
        <f t="shared" si="3"/>
        <v>37580</v>
      </c>
    </row>
    <row r="98" spans="1:7" x14ac:dyDescent="0.25">
      <c r="A98" s="149">
        <v>43800</v>
      </c>
      <c r="B98" s="2">
        <v>20860</v>
      </c>
      <c r="C98" s="2">
        <v>458240</v>
      </c>
      <c r="D98" s="2">
        <v>20175</v>
      </c>
      <c r="E98" s="2">
        <v>398302</v>
      </c>
      <c r="F98" s="10">
        <f t="shared" si="2"/>
        <v>856542</v>
      </c>
      <c r="G98" s="10">
        <f t="shared" si="3"/>
        <v>41035</v>
      </c>
    </row>
    <row r="99" spans="1:7" x14ac:dyDescent="0.25">
      <c r="A99" s="149">
        <v>43831</v>
      </c>
      <c r="B99" s="2">
        <v>20435</v>
      </c>
      <c r="C99" s="2">
        <v>391197</v>
      </c>
      <c r="D99" s="2">
        <v>20635</v>
      </c>
      <c r="E99" s="2">
        <v>425738</v>
      </c>
      <c r="F99" s="10">
        <f t="shared" si="2"/>
        <v>816935</v>
      </c>
      <c r="G99" s="10">
        <f t="shared" si="3"/>
        <v>41070</v>
      </c>
    </row>
    <row r="100" spans="1:7" x14ac:dyDescent="0.25">
      <c r="A100" s="149">
        <v>43862</v>
      </c>
      <c r="B100" s="2">
        <v>18368</v>
      </c>
      <c r="C100" s="2">
        <v>332598</v>
      </c>
      <c r="D100" s="2">
        <v>18353</v>
      </c>
      <c r="E100" s="2">
        <v>327777</v>
      </c>
      <c r="F100" s="10">
        <f t="shared" si="2"/>
        <v>660375</v>
      </c>
      <c r="G100" s="10">
        <f t="shared" si="3"/>
        <v>36721</v>
      </c>
    </row>
    <row r="101" spans="1:7" x14ac:dyDescent="0.25">
      <c r="A101" s="149">
        <v>43891</v>
      </c>
      <c r="B101" s="2">
        <v>13947</v>
      </c>
      <c r="C101" s="2">
        <v>196725</v>
      </c>
      <c r="D101" s="2">
        <v>13744</v>
      </c>
      <c r="E101" s="2">
        <v>195435</v>
      </c>
      <c r="F101" s="10">
        <f t="shared" si="2"/>
        <v>392160</v>
      </c>
      <c r="G101" s="10">
        <f t="shared" si="3"/>
        <v>27691</v>
      </c>
    </row>
    <row r="102" spans="1:7" x14ac:dyDescent="0.25">
      <c r="A102" s="149">
        <v>43922</v>
      </c>
      <c r="B102" s="2">
        <v>3616</v>
      </c>
      <c r="C102" s="2">
        <v>35511</v>
      </c>
      <c r="D102" s="2">
        <v>3243</v>
      </c>
      <c r="E102" s="2">
        <v>30796</v>
      </c>
      <c r="F102" s="10">
        <f t="shared" si="2"/>
        <v>66307</v>
      </c>
      <c r="G102" s="10">
        <f t="shared" si="3"/>
        <v>6859</v>
      </c>
    </row>
    <row r="103" spans="1:7" x14ac:dyDescent="0.25">
      <c r="A103" s="149">
        <v>43952</v>
      </c>
      <c r="B103" s="2">
        <v>4486</v>
      </c>
      <c r="C103" s="2">
        <v>52611</v>
      </c>
      <c r="D103" s="2">
        <v>3928</v>
      </c>
      <c r="E103" s="2">
        <v>46253</v>
      </c>
      <c r="F103" s="10">
        <f t="shared" si="2"/>
        <v>98864</v>
      </c>
      <c r="G103" s="10">
        <f t="shared" si="3"/>
        <v>8414</v>
      </c>
    </row>
    <row r="104" spans="1:7" x14ac:dyDescent="0.25">
      <c r="A104" s="149">
        <v>43983</v>
      </c>
      <c r="B104" s="2">
        <v>5344</v>
      </c>
      <c r="C104" s="2">
        <v>70764</v>
      </c>
      <c r="D104" s="6">
        <v>4707</v>
      </c>
      <c r="E104" s="6">
        <v>61057</v>
      </c>
      <c r="F104" s="10">
        <f t="shared" si="2"/>
        <v>131821</v>
      </c>
      <c r="G104" s="10">
        <f t="shared" si="3"/>
        <v>10051</v>
      </c>
    </row>
    <row r="105" spans="1:7" x14ac:dyDescent="0.25">
      <c r="A105" s="149">
        <v>44013</v>
      </c>
      <c r="B105" s="2">
        <v>6306</v>
      </c>
      <c r="C105" s="2">
        <v>82416</v>
      </c>
      <c r="D105" s="6">
        <v>6292</v>
      </c>
      <c r="E105" s="6">
        <v>80977</v>
      </c>
      <c r="F105" s="10">
        <f t="shared" si="2"/>
        <v>163393</v>
      </c>
      <c r="G105" s="10">
        <f t="shared" si="3"/>
        <v>12598</v>
      </c>
    </row>
    <row r="106" spans="1:7" x14ac:dyDescent="0.25">
      <c r="A106" s="149">
        <v>44044</v>
      </c>
      <c r="B106" s="2">
        <v>7571</v>
      </c>
      <c r="C106" s="2">
        <v>109095</v>
      </c>
      <c r="D106" s="6">
        <f>5917+1704+70</f>
        <v>7691</v>
      </c>
      <c r="E106" s="6">
        <f>70739+40097+1257</f>
        <v>112093</v>
      </c>
      <c r="F106" s="10">
        <f t="shared" si="2"/>
        <v>221188</v>
      </c>
      <c r="G106" s="10">
        <f t="shared" si="3"/>
        <v>15262</v>
      </c>
    </row>
    <row r="107" spans="1:7" x14ac:dyDescent="0.25">
      <c r="A107" s="149">
        <v>44075</v>
      </c>
      <c r="B107" s="2">
        <v>8615</v>
      </c>
      <c r="C107" s="2">
        <v>140527</v>
      </c>
      <c r="D107" s="6">
        <f>6839+1875+88</f>
        <v>8802</v>
      </c>
      <c r="E107" s="6">
        <f>87909+51505+1847</f>
        <v>141261</v>
      </c>
      <c r="F107" s="10">
        <f t="shared" si="2"/>
        <v>281788</v>
      </c>
      <c r="G107" s="10">
        <f t="shared" si="3"/>
        <v>17417</v>
      </c>
    </row>
    <row r="108" spans="1:7" x14ac:dyDescent="0.25">
      <c r="A108" s="149">
        <v>44105</v>
      </c>
      <c r="B108" s="2">
        <v>10752</v>
      </c>
      <c r="C108" s="2">
        <v>189732</v>
      </c>
      <c r="D108" s="6">
        <f>8039+2416+92</f>
        <v>10547</v>
      </c>
      <c r="E108" s="6">
        <f>109755+67513+1829</f>
        <v>179097</v>
      </c>
      <c r="F108" s="10">
        <f t="shared" si="2"/>
        <v>368829</v>
      </c>
      <c r="G108" s="10">
        <f t="shared" si="3"/>
        <v>21299</v>
      </c>
    </row>
    <row r="109" spans="1:7" x14ac:dyDescent="0.25">
      <c r="A109" s="149">
        <v>44136</v>
      </c>
      <c r="B109" s="2">
        <v>10349</v>
      </c>
      <c r="C109" s="2">
        <v>174852</v>
      </c>
      <c r="D109" s="6">
        <f>8066+2297+155</f>
        <v>10518</v>
      </c>
      <c r="E109" s="6">
        <f>115182+59000+3325</f>
        <v>177507</v>
      </c>
      <c r="F109" s="10">
        <f t="shared" si="2"/>
        <v>352359</v>
      </c>
      <c r="G109" s="10">
        <f t="shared" si="3"/>
        <v>20867</v>
      </c>
    </row>
    <row r="110" spans="1:7" x14ac:dyDescent="0.25">
      <c r="A110" s="149">
        <v>44166</v>
      </c>
      <c r="B110" s="2">
        <v>12456</v>
      </c>
      <c r="C110" s="2">
        <v>229286</v>
      </c>
      <c r="D110" s="6">
        <f>9026+2849+204</f>
        <v>12079</v>
      </c>
      <c r="E110" s="6">
        <f>132654+70184+4520</f>
        <v>207358</v>
      </c>
      <c r="F110" s="10">
        <f t="shared" si="2"/>
        <v>436644</v>
      </c>
      <c r="G110" s="10">
        <f t="shared" si="3"/>
        <v>24535</v>
      </c>
    </row>
    <row r="111" spans="1:7" x14ac:dyDescent="0.25">
      <c r="A111" s="149">
        <v>44197</v>
      </c>
      <c r="B111" s="2">
        <v>11550</v>
      </c>
      <c r="C111" s="2">
        <v>182385</v>
      </c>
      <c r="D111" s="2">
        <v>11709</v>
      </c>
      <c r="E111" s="2">
        <v>198454</v>
      </c>
      <c r="F111" s="10">
        <f t="shared" si="2"/>
        <v>380839</v>
      </c>
      <c r="G111" s="10">
        <f t="shared" si="3"/>
        <v>23259</v>
      </c>
    </row>
  </sheetData>
  <autoFilter ref="A1:G111" xr:uid="{8C64ECD0-D2F4-49DB-A6F2-6F8946A4845A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</autoFilter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D3932-1DBA-447D-A4E1-D6C60105C298}">
  <sheetPr>
    <tabColor rgb="FF00B0F0"/>
  </sheetPr>
  <dimension ref="A1:BB127"/>
  <sheetViews>
    <sheetView zoomScale="40" zoomScaleNormal="40" workbookViewId="0">
      <pane xSplit="1" ySplit="2" topLeftCell="B3" activePane="bottomRight" state="frozen"/>
      <selection pane="topRight" activeCell="B1" sqref="B1"/>
      <selection pane="bottomLeft" activeCell="A2" sqref="A2"/>
      <selection pane="bottomRight" sqref="A1:L1"/>
    </sheetView>
  </sheetViews>
  <sheetFormatPr defaultRowHeight="15" x14ac:dyDescent="0.25"/>
  <cols>
    <col min="1" max="1" width="9.140625" style="149"/>
    <col min="3" max="3" width="10.85546875" bestFit="1" customWidth="1"/>
    <col min="4" max="4" width="9.42578125" bestFit="1" customWidth="1"/>
    <col min="5" max="5" width="14.42578125" bestFit="1" customWidth="1"/>
    <col min="6" max="6" width="25.28515625" bestFit="1" customWidth="1"/>
    <col min="7" max="7" width="21.140625" bestFit="1" customWidth="1"/>
    <col min="8" max="12" width="14.42578125" customWidth="1"/>
    <col min="14" max="14" width="10.85546875" bestFit="1" customWidth="1"/>
    <col min="15" max="15" width="9.42578125" bestFit="1" customWidth="1"/>
    <col min="16" max="16" width="14.42578125" bestFit="1" customWidth="1"/>
    <col min="17" max="17" width="25.28515625" bestFit="1" customWidth="1"/>
    <col min="18" max="18" width="21.140625" bestFit="1" customWidth="1"/>
    <col min="20" max="20" width="13.5703125" bestFit="1" customWidth="1"/>
    <col min="21" max="21" width="9.85546875" bestFit="1" customWidth="1"/>
    <col min="26" max="26" width="13.5703125" bestFit="1" customWidth="1"/>
    <col min="27" max="27" width="9.85546875" bestFit="1" customWidth="1"/>
    <col min="28" max="28" width="8.5703125" bestFit="1" customWidth="1"/>
    <col min="29" max="29" width="8.5703125" customWidth="1"/>
    <col min="30" max="30" width="8.140625" bestFit="1" customWidth="1"/>
    <col min="40" max="40" width="13.85546875" bestFit="1" customWidth="1"/>
    <col min="41" max="41" width="13.5703125" bestFit="1" customWidth="1"/>
    <col min="42" max="42" width="9.85546875" bestFit="1" customWidth="1"/>
    <col min="43" max="43" width="13.28515625" bestFit="1" customWidth="1"/>
    <col min="44" max="44" width="13.28515625" customWidth="1"/>
  </cols>
  <sheetData>
    <row r="1" spans="1:54" x14ac:dyDescent="0.25">
      <c r="A1" s="233" t="s">
        <v>12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7"/>
      <c r="M1" s="234" t="s">
        <v>7</v>
      </c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6"/>
      <c r="Y1" s="25"/>
      <c r="Z1" s="25"/>
      <c r="AA1" s="25"/>
      <c r="AB1" s="25"/>
      <c r="AC1" s="25"/>
      <c r="AD1" s="25"/>
      <c r="AE1" s="231" t="s">
        <v>1</v>
      </c>
      <c r="AF1" s="233"/>
      <c r="AG1" s="233"/>
      <c r="AH1" s="233"/>
      <c r="AI1" s="28"/>
      <c r="AJ1" s="231" t="s">
        <v>3</v>
      </c>
      <c r="AK1" s="233"/>
      <c r="AL1" s="233"/>
      <c r="AM1" s="233"/>
      <c r="AN1" s="231" t="s">
        <v>14</v>
      </c>
      <c r="AO1" s="233"/>
      <c r="AP1" s="233"/>
      <c r="AQ1" s="233"/>
      <c r="AR1" s="28"/>
      <c r="AS1" s="231" t="s">
        <v>15</v>
      </c>
      <c r="AT1" s="233"/>
      <c r="AU1" s="233"/>
      <c r="AV1" s="233"/>
      <c r="AW1" s="231" t="s">
        <v>28</v>
      </c>
      <c r="AX1" s="232"/>
      <c r="AY1" s="233"/>
      <c r="AZ1" s="233"/>
      <c r="BA1" s="233"/>
      <c r="BB1" s="29"/>
    </row>
    <row r="2" spans="1:54" x14ac:dyDescent="0.25">
      <c r="A2" s="149" t="s">
        <v>0</v>
      </c>
      <c r="B2" t="s">
        <v>1</v>
      </c>
      <c r="C2" t="s">
        <v>2</v>
      </c>
      <c r="D2" t="s">
        <v>3</v>
      </c>
      <c r="E2" t="s">
        <v>4</v>
      </c>
      <c r="F2" s="8" t="s">
        <v>5</v>
      </c>
      <c r="G2" s="8" t="s">
        <v>6</v>
      </c>
      <c r="H2" s="24" t="s">
        <v>8</v>
      </c>
      <c r="I2" s="24" t="s">
        <v>9</v>
      </c>
      <c r="J2" s="24" t="s">
        <v>10</v>
      </c>
      <c r="K2" s="24" t="s">
        <v>11</v>
      </c>
      <c r="M2" s="7" t="s">
        <v>1</v>
      </c>
      <c r="N2" s="8" t="s">
        <v>2</v>
      </c>
      <c r="O2" s="8" t="s">
        <v>3</v>
      </c>
      <c r="P2" s="8" t="s">
        <v>4</v>
      </c>
      <c r="Q2" s="26" t="s">
        <v>5</v>
      </c>
      <c r="R2" s="27" t="s">
        <v>6</v>
      </c>
      <c r="S2" s="26" t="s">
        <v>8</v>
      </c>
      <c r="T2" s="26" t="s">
        <v>9</v>
      </c>
      <c r="U2" s="26" t="s">
        <v>10</v>
      </c>
      <c r="V2" s="26" t="s">
        <v>11</v>
      </c>
      <c r="W2" s="26"/>
      <c r="X2" s="9"/>
      <c r="Y2" s="27" t="s">
        <v>8</v>
      </c>
      <c r="Z2" s="27" t="s">
        <v>9</v>
      </c>
      <c r="AA2" s="27" t="s">
        <v>10</v>
      </c>
      <c r="AB2" s="27" t="s">
        <v>11</v>
      </c>
      <c r="AC2" s="27"/>
      <c r="AD2" s="9"/>
      <c r="AE2" s="24" t="s">
        <v>13</v>
      </c>
      <c r="AF2" s="24" t="s">
        <v>9</v>
      </c>
      <c r="AG2" s="24" t="s">
        <v>10</v>
      </c>
      <c r="AH2" s="24" t="s">
        <v>11</v>
      </c>
      <c r="AI2" s="24"/>
      <c r="AJ2" s="24" t="s">
        <v>13</v>
      </c>
      <c r="AK2" s="24" t="s">
        <v>9</v>
      </c>
      <c r="AL2" s="24" t="s">
        <v>10</v>
      </c>
      <c r="AM2" s="24" t="s">
        <v>11</v>
      </c>
      <c r="AN2" s="24" t="s">
        <v>13</v>
      </c>
      <c r="AO2" s="24" t="s">
        <v>9</v>
      </c>
      <c r="AP2" s="24" t="s">
        <v>10</v>
      </c>
      <c r="AQ2" s="24" t="s">
        <v>11</v>
      </c>
      <c r="AR2" s="24"/>
      <c r="AS2" s="24" t="s">
        <v>13</v>
      </c>
      <c r="AT2" s="24" t="s">
        <v>9</v>
      </c>
      <c r="AU2" s="24" t="s">
        <v>10</v>
      </c>
      <c r="AV2" s="24" t="s">
        <v>11</v>
      </c>
      <c r="AW2" s="24" t="s">
        <v>29</v>
      </c>
      <c r="AX2" s="24" t="s">
        <v>13</v>
      </c>
      <c r="AY2" s="24" t="s">
        <v>9</v>
      </c>
      <c r="AZ2" s="24" t="s">
        <v>10</v>
      </c>
      <c r="BA2" s="24" t="s">
        <v>11</v>
      </c>
      <c r="BB2" s="24"/>
    </row>
    <row r="3" spans="1:54" x14ac:dyDescent="0.25">
      <c r="A3" s="149">
        <v>40909</v>
      </c>
      <c r="B3" s="2">
        <v>24087</v>
      </c>
      <c r="C3" s="2">
        <v>492218</v>
      </c>
      <c r="D3" s="2">
        <v>24862</v>
      </c>
      <c r="E3" s="2">
        <v>517514</v>
      </c>
      <c r="F3" s="10">
        <f>C3+E3</f>
        <v>1009732</v>
      </c>
      <c r="G3" s="10">
        <f>B3+D3</f>
        <v>48949</v>
      </c>
      <c r="H3" s="2"/>
      <c r="I3" s="2"/>
      <c r="J3" s="2"/>
      <c r="K3" s="2"/>
      <c r="L3" s="2"/>
      <c r="M3" s="7"/>
      <c r="N3" s="8"/>
      <c r="O3" s="8"/>
      <c r="P3" s="8"/>
      <c r="Q3" s="10">
        <f t="shared" ref="Q3:Q37" si="0">C3+E3</f>
        <v>1009732</v>
      </c>
      <c r="R3" s="10">
        <f t="shared" ref="R3:R37" si="1">B3+D3</f>
        <v>48949</v>
      </c>
      <c r="S3" s="8"/>
      <c r="T3" s="8"/>
      <c r="U3" s="8"/>
      <c r="V3" s="8"/>
      <c r="W3" s="8"/>
      <c r="X3" s="9"/>
      <c r="Y3" s="8"/>
      <c r="Z3" s="8"/>
      <c r="AA3" s="8"/>
      <c r="AB3" s="8"/>
      <c r="AC3" s="8"/>
      <c r="AD3" s="9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X3" s="8"/>
      <c r="AY3" s="8"/>
      <c r="AZ3" s="8"/>
      <c r="BA3" s="8"/>
      <c r="BB3" s="8"/>
    </row>
    <row r="4" spans="1:54" x14ac:dyDescent="0.25">
      <c r="A4" s="149">
        <v>40940</v>
      </c>
      <c r="B4" s="2">
        <v>22926</v>
      </c>
      <c r="C4" s="2">
        <v>460983</v>
      </c>
      <c r="D4" s="2">
        <v>23109</v>
      </c>
      <c r="E4" s="2">
        <v>409300</v>
      </c>
      <c r="F4" s="10">
        <f t="shared" ref="F4:F67" si="2">C4+E4</f>
        <v>870283</v>
      </c>
      <c r="G4" s="10">
        <f t="shared" ref="G4:G67" si="3">B4+D4</f>
        <v>46035</v>
      </c>
      <c r="H4" s="2"/>
      <c r="I4" s="2"/>
      <c r="J4" s="2"/>
      <c r="K4" s="2"/>
      <c r="L4" s="2"/>
      <c r="M4" s="7"/>
      <c r="N4" s="8"/>
      <c r="O4" s="8"/>
      <c r="P4" s="8"/>
      <c r="Q4" s="10">
        <f t="shared" si="0"/>
        <v>870283</v>
      </c>
      <c r="R4" s="10">
        <f t="shared" si="1"/>
        <v>46035</v>
      </c>
      <c r="S4" s="8"/>
      <c r="T4" s="8"/>
      <c r="U4" s="8"/>
      <c r="V4" s="8"/>
      <c r="W4" s="8"/>
      <c r="X4" s="9"/>
      <c r="Y4" s="8"/>
      <c r="Z4" s="8"/>
      <c r="AA4" s="8"/>
      <c r="AB4" s="8"/>
      <c r="AC4" s="8"/>
      <c r="AD4" s="9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X4" s="8"/>
      <c r="AY4" s="8"/>
      <c r="AZ4" s="8"/>
      <c r="BA4" s="8"/>
      <c r="BB4" s="8"/>
    </row>
    <row r="5" spans="1:54" x14ac:dyDescent="0.25">
      <c r="A5" s="149">
        <v>40969</v>
      </c>
      <c r="B5" s="2">
        <v>22980</v>
      </c>
      <c r="C5" s="2">
        <v>389847</v>
      </c>
      <c r="D5" s="2">
        <v>22680</v>
      </c>
      <c r="E5" s="2">
        <v>361493</v>
      </c>
      <c r="F5" s="10">
        <f t="shared" si="2"/>
        <v>751340</v>
      </c>
      <c r="G5" s="10">
        <f t="shared" si="3"/>
        <v>45660</v>
      </c>
      <c r="H5" s="2"/>
      <c r="I5" s="2"/>
      <c r="J5" s="2"/>
      <c r="K5" s="2"/>
      <c r="L5" s="2"/>
      <c r="M5" s="7"/>
      <c r="N5" s="8"/>
      <c r="O5" s="8"/>
      <c r="P5" s="8"/>
      <c r="Q5" s="10">
        <f t="shared" si="0"/>
        <v>751340</v>
      </c>
      <c r="R5" s="10">
        <f t="shared" si="1"/>
        <v>45660</v>
      </c>
      <c r="S5" s="8"/>
      <c r="T5" s="8"/>
      <c r="U5" s="8"/>
      <c r="V5" s="8"/>
      <c r="W5" s="8"/>
      <c r="X5" s="9"/>
      <c r="Y5" s="8"/>
      <c r="Z5" s="8"/>
      <c r="AA5" s="8"/>
      <c r="AB5" s="8"/>
      <c r="AC5" s="8"/>
      <c r="AD5" s="9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X5" s="8"/>
      <c r="AY5" s="8"/>
      <c r="AZ5" s="8"/>
      <c r="BA5" s="8"/>
      <c r="BB5" s="8"/>
    </row>
    <row r="6" spans="1:54" x14ac:dyDescent="0.25">
      <c r="A6" s="149">
        <v>41000</v>
      </c>
      <c r="B6" s="2">
        <v>23132</v>
      </c>
      <c r="C6" s="2">
        <v>461986</v>
      </c>
      <c r="D6" s="2">
        <v>23047</v>
      </c>
      <c r="E6" s="2">
        <v>420289</v>
      </c>
      <c r="F6" s="10">
        <f t="shared" si="2"/>
        <v>882275</v>
      </c>
      <c r="G6" s="10">
        <f t="shared" si="3"/>
        <v>46179</v>
      </c>
      <c r="H6" s="2"/>
      <c r="I6" s="2"/>
      <c r="J6" s="2"/>
      <c r="K6" s="2"/>
      <c r="L6" s="2"/>
      <c r="M6" s="7"/>
      <c r="N6" s="8"/>
      <c r="O6" s="8"/>
      <c r="P6" s="8"/>
      <c r="Q6" s="10">
        <f t="shared" si="0"/>
        <v>882275</v>
      </c>
      <c r="R6" s="10">
        <f t="shared" si="1"/>
        <v>46179</v>
      </c>
      <c r="S6" s="8"/>
      <c r="T6" s="8"/>
      <c r="U6" s="8"/>
      <c r="V6" s="8"/>
      <c r="W6" s="8"/>
      <c r="X6" s="9"/>
      <c r="Y6" s="8"/>
      <c r="Z6" s="8"/>
      <c r="AA6" s="8"/>
      <c r="AB6" s="8"/>
      <c r="AC6" s="8"/>
      <c r="AD6" s="9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X6" s="8"/>
      <c r="AY6" s="8"/>
      <c r="AZ6" s="8"/>
      <c r="BA6" s="8"/>
      <c r="BB6" s="8"/>
    </row>
    <row r="7" spans="1:54" x14ac:dyDescent="0.25">
      <c r="A7" s="149">
        <v>41030</v>
      </c>
      <c r="B7" s="2">
        <v>23168</v>
      </c>
      <c r="C7" s="2">
        <v>404613</v>
      </c>
      <c r="D7" s="2">
        <v>23254</v>
      </c>
      <c r="E7" s="2">
        <v>387620</v>
      </c>
      <c r="F7" s="10">
        <f t="shared" si="2"/>
        <v>792233</v>
      </c>
      <c r="G7" s="10">
        <f t="shared" si="3"/>
        <v>46422</v>
      </c>
      <c r="H7" s="2"/>
      <c r="I7" s="2"/>
      <c r="J7" s="2"/>
      <c r="K7" s="2"/>
      <c r="L7" s="2"/>
      <c r="M7" s="7"/>
      <c r="N7" s="8"/>
      <c r="O7" s="8"/>
      <c r="P7" s="8"/>
      <c r="Q7" s="10">
        <f t="shared" si="0"/>
        <v>792233</v>
      </c>
      <c r="R7" s="10">
        <f t="shared" si="1"/>
        <v>46422</v>
      </c>
      <c r="S7" s="8"/>
      <c r="T7" s="8"/>
      <c r="U7" s="8"/>
      <c r="V7" s="8"/>
      <c r="W7" s="8"/>
      <c r="X7" s="9"/>
      <c r="Y7" s="8"/>
      <c r="Z7" s="8"/>
      <c r="AA7" s="8"/>
      <c r="AB7" s="8"/>
      <c r="AC7" s="8"/>
      <c r="AD7" s="9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X7" s="8"/>
      <c r="AY7" s="8"/>
      <c r="AZ7" s="8"/>
      <c r="BA7" s="8"/>
      <c r="BB7" s="8"/>
    </row>
    <row r="8" spans="1:54" x14ac:dyDescent="0.25">
      <c r="A8" s="149">
        <v>41061</v>
      </c>
      <c r="B8" s="2">
        <v>22640</v>
      </c>
      <c r="C8" s="2">
        <v>416564</v>
      </c>
      <c r="D8" s="2">
        <v>22569</v>
      </c>
      <c r="E8" s="2">
        <v>377825</v>
      </c>
      <c r="F8" s="10">
        <f t="shared" si="2"/>
        <v>794389</v>
      </c>
      <c r="G8" s="10">
        <f t="shared" si="3"/>
        <v>45209</v>
      </c>
      <c r="H8" s="2"/>
      <c r="I8" s="2"/>
      <c r="J8" s="2"/>
      <c r="K8" s="2"/>
      <c r="L8" s="2"/>
      <c r="M8" s="7"/>
      <c r="N8" s="8"/>
      <c r="O8" s="8"/>
      <c r="P8" s="8"/>
      <c r="Q8" s="10">
        <f t="shared" si="0"/>
        <v>794389</v>
      </c>
      <c r="R8" s="10">
        <f t="shared" si="1"/>
        <v>45209</v>
      </c>
      <c r="S8" s="8"/>
      <c r="T8" s="8"/>
      <c r="U8" s="8"/>
      <c r="V8" s="8"/>
      <c r="W8" s="8"/>
      <c r="X8" s="9"/>
      <c r="Y8" s="8"/>
      <c r="Z8" s="8"/>
      <c r="AA8" s="8"/>
      <c r="AB8" s="8"/>
      <c r="AC8" s="8"/>
      <c r="AD8" s="9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X8" s="8"/>
      <c r="AY8" s="8"/>
      <c r="AZ8" s="8"/>
      <c r="BA8" s="8"/>
      <c r="BB8" s="8"/>
    </row>
    <row r="9" spans="1:54" x14ac:dyDescent="0.25">
      <c r="A9" s="149">
        <v>41091</v>
      </c>
      <c r="B9" s="2">
        <v>24245</v>
      </c>
      <c r="C9" s="2">
        <v>530284</v>
      </c>
      <c r="D9" s="2">
        <v>24307</v>
      </c>
      <c r="E9" s="2">
        <v>482250</v>
      </c>
      <c r="F9" s="10">
        <f t="shared" si="2"/>
        <v>1012534</v>
      </c>
      <c r="G9" s="10">
        <f t="shared" si="3"/>
        <v>48552</v>
      </c>
      <c r="H9" s="2"/>
      <c r="I9" s="2"/>
      <c r="J9" s="2"/>
      <c r="K9" s="2"/>
      <c r="L9" s="2"/>
      <c r="M9" s="7"/>
      <c r="N9" s="8"/>
      <c r="O9" s="8"/>
      <c r="P9" s="8"/>
      <c r="Q9" s="10">
        <f t="shared" si="0"/>
        <v>1012534</v>
      </c>
      <c r="R9" s="10">
        <f t="shared" si="1"/>
        <v>48552</v>
      </c>
      <c r="S9" s="8"/>
      <c r="T9" s="8"/>
      <c r="U9" s="8"/>
      <c r="V9" s="8"/>
      <c r="W9" s="8"/>
      <c r="X9" s="9"/>
      <c r="Y9" s="8"/>
      <c r="Z9" s="8"/>
      <c r="AA9" s="8"/>
      <c r="AB9" s="8"/>
      <c r="AC9" s="8"/>
      <c r="AD9" s="9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X9" s="8"/>
      <c r="AY9" s="8"/>
      <c r="AZ9" s="8"/>
      <c r="BA9" s="8"/>
      <c r="BB9" s="8"/>
    </row>
    <row r="10" spans="1:54" x14ac:dyDescent="0.25">
      <c r="A10" s="149">
        <v>41122</v>
      </c>
      <c r="B10" s="2">
        <v>23123</v>
      </c>
      <c r="C10" s="2">
        <v>410537</v>
      </c>
      <c r="D10" s="2">
        <v>23135</v>
      </c>
      <c r="E10" s="2">
        <v>387882</v>
      </c>
      <c r="F10" s="10">
        <f t="shared" si="2"/>
        <v>798419</v>
      </c>
      <c r="G10" s="10">
        <f t="shared" si="3"/>
        <v>46258</v>
      </c>
      <c r="H10" s="2"/>
      <c r="I10" s="2"/>
      <c r="J10" s="2"/>
      <c r="K10" s="2"/>
      <c r="L10" s="2"/>
      <c r="M10" s="7"/>
      <c r="N10" s="8"/>
      <c r="O10" s="8"/>
      <c r="P10" s="8"/>
      <c r="Q10" s="10">
        <f t="shared" si="0"/>
        <v>798419</v>
      </c>
      <c r="R10" s="10">
        <f t="shared" si="1"/>
        <v>46258</v>
      </c>
      <c r="S10" s="8"/>
      <c r="T10" s="8"/>
      <c r="U10" s="8"/>
      <c r="V10" s="8"/>
      <c r="W10" s="8"/>
      <c r="X10" s="9"/>
      <c r="Y10" s="8"/>
      <c r="Z10" s="8"/>
      <c r="AA10" s="8"/>
      <c r="AB10" s="8"/>
      <c r="AC10" s="8"/>
      <c r="AD10" s="9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X10" s="8"/>
      <c r="AY10" s="8"/>
      <c r="AZ10" s="8"/>
      <c r="BA10" s="8"/>
      <c r="BB10" s="8"/>
    </row>
    <row r="11" spans="1:54" x14ac:dyDescent="0.25">
      <c r="A11" s="149">
        <v>41153</v>
      </c>
      <c r="B11" s="2">
        <v>22745</v>
      </c>
      <c r="C11" s="2">
        <v>437488</v>
      </c>
      <c r="D11" s="2">
        <v>22838</v>
      </c>
      <c r="E11" s="2">
        <v>403046</v>
      </c>
      <c r="F11" s="10">
        <f t="shared" si="2"/>
        <v>840534</v>
      </c>
      <c r="G11" s="10">
        <f t="shared" si="3"/>
        <v>45583</v>
      </c>
      <c r="H11" s="2"/>
      <c r="I11" s="2"/>
      <c r="J11" s="2"/>
      <c r="K11" s="2"/>
      <c r="L11" s="2"/>
      <c r="M11" s="7"/>
      <c r="N11" s="8"/>
      <c r="O11" s="8"/>
      <c r="P11" s="8"/>
      <c r="Q11" s="10">
        <f t="shared" si="0"/>
        <v>840534</v>
      </c>
      <c r="R11" s="10">
        <f t="shared" si="1"/>
        <v>45583</v>
      </c>
      <c r="S11" s="8"/>
      <c r="T11" s="8"/>
      <c r="U11" s="8"/>
      <c r="V11" s="8"/>
      <c r="W11" s="8"/>
      <c r="X11" s="9"/>
      <c r="Y11" s="8"/>
      <c r="Z11" s="8"/>
      <c r="AA11" s="8"/>
      <c r="AB11" s="8"/>
      <c r="AC11" s="8"/>
      <c r="AD11" s="9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X11" s="8"/>
      <c r="AY11" s="8"/>
      <c r="AZ11" s="8"/>
      <c r="BA11" s="8"/>
      <c r="BB11" s="8"/>
    </row>
    <row r="12" spans="1:54" x14ac:dyDescent="0.25">
      <c r="A12" s="149">
        <v>41183</v>
      </c>
      <c r="B12" s="2">
        <v>23870</v>
      </c>
      <c r="C12" s="2">
        <v>464513</v>
      </c>
      <c r="D12" s="2">
        <v>24022</v>
      </c>
      <c r="E12" s="2">
        <v>435451</v>
      </c>
      <c r="F12" s="10">
        <f t="shared" si="2"/>
        <v>899964</v>
      </c>
      <c r="G12" s="10">
        <f t="shared" si="3"/>
        <v>47892</v>
      </c>
      <c r="H12" s="2"/>
      <c r="I12" s="2"/>
      <c r="J12" s="2"/>
      <c r="K12" s="2"/>
      <c r="L12" s="2"/>
      <c r="M12" s="7"/>
      <c r="N12" s="8"/>
      <c r="O12" s="8"/>
      <c r="P12" s="8"/>
      <c r="Q12" s="10">
        <f t="shared" si="0"/>
        <v>899964</v>
      </c>
      <c r="R12" s="10">
        <f t="shared" si="1"/>
        <v>47892</v>
      </c>
      <c r="S12" s="8"/>
      <c r="T12" s="8"/>
      <c r="U12" s="8"/>
      <c r="V12" s="8"/>
      <c r="W12" s="8"/>
      <c r="X12" s="9"/>
      <c r="Y12" s="8"/>
      <c r="Z12" s="8"/>
      <c r="AA12" s="8"/>
      <c r="AB12" s="8"/>
      <c r="AC12" s="8"/>
      <c r="AD12" s="9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X12" s="8"/>
      <c r="AY12" s="8"/>
      <c r="AZ12" s="8"/>
      <c r="BA12" s="8"/>
      <c r="BB12" s="8"/>
    </row>
    <row r="13" spans="1:54" x14ac:dyDescent="0.25">
      <c r="A13" s="149">
        <v>41214</v>
      </c>
      <c r="B13" s="2">
        <v>22765</v>
      </c>
      <c r="C13" s="2">
        <v>432874</v>
      </c>
      <c r="D13" s="2">
        <v>22533</v>
      </c>
      <c r="E13" s="2">
        <v>396561</v>
      </c>
      <c r="F13" s="10">
        <f t="shared" si="2"/>
        <v>829435</v>
      </c>
      <c r="G13" s="10">
        <f t="shared" si="3"/>
        <v>45298</v>
      </c>
      <c r="H13" s="2"/>
      <c r="I13" s="2"/>
      <c r="J13" s="2"/>
      <c r="K13" s="2"/>
      <c r="L13" s="2"/>
      <c r="M13" s="7"/>
      <c r="N13" s="8"/>
      <c r="O13" s="8"/>
      <c r="P13" s="8"/>
      <c r="Q13" s="10">
        <f t="shared" si="0"/>
        <v>829435</v>
      </c>
      <c r="R13" s="10">
        <f t="shared" si="1"/>
        <v>45298</v>
      </c>
      <c r="S13" s="8"/>
      <c r="T13" s="8"/>
      <c r="U13" s="8"/>
      <c r="V13" s="8"/>
      <c r="W13" s="8"/>
      <c r="X13" s="9"/>
      <c r="Y13" s="8"/>
      <c r="Z13" s="8"/>
      <c r="AA13" s="8"/>
      <c r="AB13" s="8"/>
      <c r="AC13" s="8"/>
      <c r="AD13" s="9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X13" s="8"/>
      <c r="AY13" s="8"/>
      <c r="AZ13" s="8"/>
      <c r="BA13" s="8"/>
      <c r="BB13" s="8"/>
    </row>
    <row r="14" spans="1:54" x14ac:dyDescent="0.25">
      <c r="A14" s="149">
        <v>41244</v>
      </c>
      <c r="B14" s="2">
        <v>23988</v>
      </c>
      <c r="C14" s="2">
        <v>536951</v>
      </c>
      <c r="D14" s="2">
        <v>22659</v>
      </c>
      <c r="E14" s="2">
        <v>429610</v>
      </c>
      <c r="F14" s="10">
        <f t="shared" si="2"/>
        <v>966561</v>
      </c>
      <c r="G14" s="10">
        <f t="shared" si="3"/>
        <v>46647</v>
      </c>
      <c r="H14" s="11">
        <f>SUM(F3:F14)</f>
        <v>10447699</v>
      </c>
      <c r="I14" s="11">
        <f>AVERAGE(F3:F14)</f>
        <v>870641.58333333337</v>
      </c>
      <c r="J14" s="11">
        <f>H14/365</f>
        <v>28623.832876712328</v>
      </c>
      <c r="K14" s="2"/>
      <c r="L14" s="2"/>
      <c r="M14" s="7"/>
      <c r="N14" s="8"/>
      <c r="O14" s="8"/>
      <c r="P14" s="8"/>
      <c r="Q14" s="10">
        <f t="shared" si="0"/>
        <v>966561</v>
      </c>
      <c r="R14" s="10">
        <f t="shared" si="1"/>
        <v>46647</v>
      </c>
      <c r="S14" s="8"/>
      <c r="T14" s="8"/>
      <c r="U14" s="8"/>
      <c r="V14" s="8"/>
      <c r="W14" s="8"/>
      <c r="X14" s="9"/>
      <c r="Y14" s="8"/>
      <c r="Z14" s="8"/>
      <c r="AA14" s="8"/>
      <c r="AB14" s="8"/>
      <c r="AC14" s="8"/>
      <c r="AD14" s="9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X14" s="8"/>
      <c r="AY14" s="8"/>
      <c r="AZ14" s="8"/>
      <c r="BA14" s="8"/>
      <c r="BB14" s="8"/>
    </row>
    <row r="15" spans="1:54" x14ac:dyDescent="0.25">
      <c r="A15" s="149">
        <v>41275</v>
      </c>
      <c r="B15" s="2">
        <v>24862</v>
      </c>
      <c r="C15" s="2">
        <v>503688</v>
      </c>
      <c r="D15" s="2">
        <v>24862</v>
      </c>
      <c r="E15" s="2">
        <v>516119</v>
      </c>
      <c r="F15" s="10">
        <f t="shared" si="2"/>
        <v>1019807</v>
      </c>
      <c r="G15" s="10">
        <f t="shared" si="3"/>
        <v>49724</v>
      </c>
      <c r="H15" s="2"/>
      <c r="I15" s="2"/>
      <c r="J15" s="2"/>
      <c r="K15" s="2"/>
      <c r="L15" s="2"/>
      <c r="M15" s="7"/>
      <c r="N15" s="8"/>
      <c r="O15" s="8"/>
      <c r="P15" s="8"/>
      <c r="Q15" s="10">
        <f t="shared" si="0"/>
        <v>1019807</v>
      </c>
      <c r="R15" s="10">
        <f t="shared" si="1"/>
        <v>49724</v>
      </c>
      <c r="S15" s="8"/>
      <c r="T15" s="8"/>
      <c r="U15" s="8"/>
      <c r="V15" s="8"/>
      <c r="W15" s="8"/>
      <c r="X15" s="9"/>
      <c r="Y15" s="8"/>
      <c r="Z15" s="8"/>
      <c r="AA15" s="8"/>
      <c r="AB15" s="8"/>
      <c r="AC15" s="8"/>
      <c r="AD15" s="9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X15" s="8"/>
      <c r="AY15" s="8"/>
      <c r="AZ15" s="8"/>
      <c r="BA15" s="8"/>
      <c r="BB15" s="8"/>
    </row>
    <row r="16" spans="1:54" x14ac:dyDescent="0.25">
      <c r="A16" s="149">
        <v>41306</v>
      </c>
      <c r="B16" s="2">
        <v>22079</v>
      </c>
      <c r="C16" s="2">
        <v>437644</v>
      </c>
      <c r="D16" s="2">
        <v>21542</v>
      </c>
      <c r="E16" s="2">
        <v>399637</v>
      </c>
      <c r="F16" s="10">
        <f t="shared" si="2"/>
        <v>837281</v>
      </c>
      <c r="G16" s="10">
        <f t="shared" si="3"/>
        <v>43621</v>
      </c>
      <c r="H16" s="2"/>
      <c r="I16" s="2"/>
      <c r="J16" s="2"/>
      <c r="K16" s="2"/>
      <c r="L16" s="2"/>
      <c r="M16" s="7"/>
      <c r="N16" s="8"/>
      <c r="O16" s="8"/>
      <c r="P16" s="8"/>
      <c r="Q16" s="10">
        <f t="shared" si="0"/>
        <v>837281</v>
      </c>
      <c r="R16" s="10">
        <f t="shared" si="1"/>
        <v>43621</v>
      </c>
      <c r="S16" s="8"/>
      <c r="T16" s="8"/>
      <c r="U16" s="8"/>
      <c r="V16" s="8"/>
      <c r="W16" s="8"/>
      <c r="X16" s="9"/>
      <c r="Y16" s="8"/>
      <c r="Z16" s="8"/>
      <c r="AA16" s="8"/>
      <c r="AB16" s="8"/>
      <c r="AC16" s="8"/>
      <c r="AD16" s="9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X16" s="8"/>
      <c r="AY16" s="8"/>
      <c r="AZ16" s="8"/>
      <c r="BA16" s="8"/>
      <c r="BB16" s="8"/>
    </row>
    <row r="17" spans="1:54" x14ac:dyDescent="0.25">
      <c r="A17" s="149">
        <v>41334</v>
      </c>
      <c r="B17" s="2">
        <v>23328</v>
      </c>
      <c r="C17" s="2">
        <v>443844</v>
      </c>
      <c r="D17" s="2">
        <v>22258</v>
      </c>
      <c r="E17" s="2">
        <v>365431</v>
      </c>
      <c r="F17" s="10">
        <f t="shared" si="2"/>
        <v>809275</v>
      </c>
      <c r="G17" s="10">
        <f t="shared" si="3"/>
        <v>45586</v>
      </c>
      <c r="H17" s="2"/>
      <c r="I17" s="2"/>
      <c r="J17" s="2"/>
      <c r="K17" s="2"/>
      <c r="L17" s="2"/>
      <c r="M17" s="7"/>
      <c r="N17" s="8"/>
      <c r="O17" s="8"/>
      <c r="P17" s="8"/>
      <c r="Q17" s="10">
        <f t="shared" si="0"/>
        <v>809275</v>
      </c>
      <c r="R17" s="10">
        <f t="shared" si="1"/>
        <v>45586</v>
      </c>
      <c r="S17" s="8"/>
      <c r="T17" s="8"/>
      <c r="U17" s="8"/>
      <c r="V17" s="8"/>
      <c r="W17" s="8"/>
      <c r="X17" s="9"/>
      <c r="Y17" s="8"/>
      <c r="Z17" s="8"/>
      <c r="AA17" s="8"/>
      <c r="AB17" s="8"/>
      <c r="AC17" s="8"/>
      <c r="AD17" s="9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X17" s="8"/>
      <c r="AY17" s="8"/>
      <c r="AZ17" s="8"/>
      <c r="BA17" s="8"/>
      <c r="BB17" s="8"/>
    </row>
    <row r="18" spans="1:54" x14ac:dyDescent="0.25">
      <c r="A18" s="149">
        <v>41365</v>
      </c>
      <c r="B18" s="2">
        <v>21033</v>
      </c>
      <c r="C18" s="2">
        <v>386830</v>
      </c>
      <c r="D18" s="2">
        <v>21488</v>
      </c>
      <c r="E18" s="2">
        <v>362271</v>
      </c>
      <c r="F18" s="10">
        <f t="shared" si="2"/>
        <v>749101</v>
      </c>
      <c r="G18" s="10">
        <f t="shared" si="3"/>
        <v>42521</v>
      </c>
      <c r="H18" s="2"/>
      <c r="I18" s="2"/>
      <c r="J18" s="2"/>
      <c r="K18" s="2"/>
      <c r="L18" s="2"/>
      <c r="M18" s="7"/>
      <c r="N18" s="8"/>
      <c r="O18" s="8"/>
      <c r="P18" s="8"/>
      <c r="Q18" s="10">
        <f t="shared" si="0"/>
        <v>749101</v>
      </c>
      <c r="R18" s="10">
        <f t="shared" si="1"/>
        <v>42521</v>
      </c>
      <c r="S18" s="8"/>
      <c r="T18" s="8"/>
      <c r="U18" s="8"/>
      <c r="V18" s="8"/>
      <c r="W18" s="8"/>
      <c r="X18" s="9"/>
      <c r="Y18" s="8"/>
      <c r="Z18" s="8"/>
      <c r="AA18" s="8"/>
      <c r="AB18" s="8"/>
      <c r="AC18" s="8"/>
      <c r="AD18" s="9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X18" s="8"/>
      <c r="AY18" s="8"/>
      <c r="AZ18" s="8"/>
      <c r="BA18" s="8"/>
      <c r="BB18" s="8"/>
    </row>
    <row r="19" spans="1:54" x14ac:dyDescent="0.25">
      <c r="A19" s="149">
        <v>41395</v>
      </c>
      <c r="B19" s="2">
        <v>22972</v>
      </c>
      <c r="C19" s="2">
        <v>439757</v>
      </c>
      <c r="D19" s="2">
        <v>21971</v>
      </c>
      <c r="E19" s="2">
        <v>372529</v>
      </c>
      <c r="F19" s="10">
        <f t="shared" si="2"/>
        <v>812286</v>
      </c>
      <c r="G19" s="10">
        <f t="shared" si="3"/>
        <v>44943</v>
      </c>
      <c r="H19" s="2"/>
      <c r="I19" s="2"/>
      <c r="J19" s="2"/>
      <c r="K19" s="2"/>
      <c r="L19" s="2"/>
      <c r="M19" s="7"/>
      <c r="N19" s="8"/>
      <c r="O19" s="8"/>
      <c r="P19" s="8"/>
      <c r="Q19" s="10">
        <f t="shared" si="0"/>
        <v>812286</v>
      </c>
      <c r="R19" s="10">
        <f t="shared" si="1"/>
        <v>44943</v>
      </c>
      <c r="S19" s="8"/>
      <c r="T19" s="8"/>
      <c r="U19" s="8"/>
      <c r="V19" s="8"/>
      <c r="W19" s="8"/>
      <c r="X19" s="9"/>
      <c r="Y19" s="8"/>
      <c r="Z19" s="8"/>
      <c r="AA19" s="8"/>
      <c r="AB19" s="8"/>
      <c r="AC19" s="8"/>
      <c r="AD19" s="9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X19" s="8"/>
      <c r="AY19" s="8"/>
      <c r="AZ19" s="8"/>
      <c r="BA19" s="8"/>
      <c r="BB19" s="8"/>
    </row>
    <row r="20" spans="1:54" x14ac:dyDescent="0.25">
      <c r="A20" s="149">
        <v>41426</v>
      </c>
      <c r="B20" s="2">
        <v>21698</v>
      </c>
      <c r="C20" s="2">
        <v>388327</v>
      </c>
      <c r="D20" s="2">
        <v>21010</v>
      </c>
      <c r="E20" s="2">
        <v>348936</v>
      </c>
      <c r="F20" s="10">
        <f t="shared" si="2"/>
        <v>737263</v>
      </c>
      <c r="G20" s="10">
        <f t="shared" si="3"/>
        <v>42708</v>
      </c>
      <c r="H20" s="2"/>
      <c r="I20" s="2"/>
      <c r="J20" s="2"/>
      <c r="K20" s="2"/>
      <c r="L20" s="2"/>
      <c r="M20" s="7"/>
      <c r="N20" s="8"/>
      <c r="O20" s="8"/>
      <c r="P20" s="8"/>
      <c r="Q20" s="10">
        <f t="shared" si="0"/>
        <v>737263</v>
      </c>
      <c r="R20" s="10">
        <f t="shared" si="1"/>
        <v>42708</v>
      </c>
      <c r="S20" s="8"/>
      <c r="T20" s="8"/>
      <c r="U20" s="8"/>
      <c r="V20" s="8"/>
      <c r="W20" s="8"/>
      <c r="X20" s="9"/>
      <c r="Y20" s="8"/>
      <c r="Z20" s="8"/>
      <c r="AA20" s="8"/>
      <c r="AB20" s="8"/>
      <c r="AC20" s="8"/>
      <c r="AD20" s="9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X20" s="8"/>
      <c r="AY20" s="8"/>
      <c r="AZ20" s="8"/>
      <c r="BA20" s="8"/>
      <c r="BB20" s="8"/>
    </row>
    <row r="21" spans="1:54" x14ac:dyDescent="0.25">
      <c r="A21" s="149">
        <v>41456</v>
      </c>
      <c r="B21" s="2">
        <v>23693</v>
      </c>
      <c r="C21" s="2">
        <v>508940</v>
      </c>
      <c r="D21" s="2">
        <v>22965</v>
      </c>
      <c r="E21" s="2">
        <v>448515</v>
      </c>
      <c r="F21" s="10">
        <f t="shared" si="2"/>
        <v>957455</v>
      </c>
      <c r="G21" s="10">
        <f t="shared" si="3"/>
        <v>46658</v>
      </c>
      <c r="H21" s="2"/>
      <c r="I21" s="2"/>
      <c r="J21" s="2"/>
      <c r="K21" s="2"/>
      <c r="L21" s="2"/>
      <c r="M21" s="7"/>
      <c r="N21" s="8"/>
      <c r="O21" s="8"/>
      <c r="P21" s="8"/>
      <c r="Q21" s="10">
        <f t="shared" si="0"/>
        <v>957455</v>
      </c>
      <c r="R21" s="10">
        <f t="shared" si="1"/>
        <v>46658</v>
      </c>
      <c r="S21" s="8"/>
      <c r="T21" s="8"/>
      <c r="U21" s="8"/>
      <c r="V21" s="8"/>
      <c r="W21" s="8"/>
      <c r="X21" s="9"/>
      <c r="Y21" s="8"/>
      <c r="Z21" s="8"/>
      <c r="AA21" s="8"/>
      <c r="AB21" s="8"/>
      <c r="AC21" s="8"/>
      <c r="AD21" s="9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X21" s="8"/>
      <c r="AY21" s="8"/>
      <c r="AZ21" s="8"/>
      <c r="BA21" s="8"/>
      <c r="BB21" s="8"/>
    </row>
    <row r="22" spans="1:54" x14ac:dyDescent="0.25">
      <c r="A22" s="149">
        <v>41487</v>
      </c>
      <c r="B22" s="2">
        <v>22770</v>
      </c>
      <c r="C22" s="2">
        <v>435541</v>
      </c>
      <c r="D22" s="2">
        <v>22262</v>
      </c>
      <c r="E22" s="2">
        <v>400971</v>
      </c>
      <c r="F22" s="10">
        <f t="shared" si="2"/>
        <v>836512</v>
      </c>
      <c r="G22" s="10">
        <f t="shared" si="3"/>
        <v>45032</v>
      </c>
      <c r="H22" s="2"/>
      <c r="I22" s="2"/>
      <c r="J22" s="2"/>
      <c r="K22" s="2"/>
      <c r="L22" s="2"/>
      <c r="M22" s="7"/>
      <c r="N22" s="8"/>
      <c r="O22" s="8"/>
      <c r="P22" s="8"/>
      <c r="Q22" s="10">
        <f t="shared" si="0"/>
        <v>836512</v>
      </c>
      <c r="R22" s="10">
        <f t="shared" si="1"/>
        <v>45032</v>
      </c>
      <c r="S22" s="8"/>
      <c r="T22" s="8"/>
      <c r="U22" s="8"/>
      <c r="V22" s="8"/>
      <c r="W22" s="8"/>
      <c r="X22" s="9"/>
      <c r="Y22" s="8"/>
      <c r="Z22" s="8"/>
      <c r="AA22" s="8"/>
      <c r="AB22" s="8"/>
      <c r="AC22" s="8"/>
      <c r="AD22" s="9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X22" s="8"/>
      <c r="AY22" s="8"/>
      <c r="AZ22" s="8"/>
      <c r="BA22" s="8"/>
      <c r="BB22" s="8"/>
    </row>
    <row r="23" spans="1:54" x14ac:dyDescent="0.25">
      <c r="A23" s="149">
        <v>41518</v>
      </c>
      <c r="B23" s="2">
        <v>22066</v>
      </c>
      <c r="C23" s="2">
        <v>405497</v>
      </c>
      <c r="D23" s="2">
        <v>21701</v>
      </c>
      <c r="E23" s="2">
        <v>390820</v>
      </c>
      <c r="F23" s="10">
        <f t="shared" si="2"/>
        <v>796317</v>
      </c>
      <c r="G23" s="10">
        <f t="shared" si="3"/>
        <v>43767</v>
      </c>
      <c r="H23" s="2"/>
      <c r="I23" s="2"/>
      <c r="J23" s="2"/>
      <c r="K23" s="2"/>
      <c r="L23" s="2"/>
      <c r="M23" s="7"/>
      <c r="N23" s="8"/>
      <c r="O23" s="8"/>
      <c r="P23" s="8"/>
      <c r="Q23" s="10">
        <f t="shared" si="0"/>
        <v>796317</v>
      </c>
      <c r="R23" s="10">
        <f t="shared" si="1"/>
        <v>43767</v>
      </c>
      <c r="S23" s="8"/>
      <c r="T23" s="8"/>
      <c r="U23" s="8"/>
      <c r="V23" s="8"/>
      <c r="W23" s="8"/>
      <c r="X23" s="9"/>
      <c r="Y23" s="8"/>
      <c r="Z23" s="8"/>
      <c r="AA23" s="8"/>
      <c r="AB23" s="8"/>
      <c r="AC23" s="8"/>
      <c r="AD23" s="9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X23" s="8"/>
      <c r="AY23" s="8"/>
      <c r="AZ23" s="8"/>
      <c r="BA23" s="8"/>
      <c r="BB23" s="8"/>
    </row>
    <row r="24" spans="1:54" x14ac:dyDescent="0.25">
      <c r="A24" s="149">
        <v>41548</v>
      </c>
      <c r="B24" s="2">
        <v>22980</v>
      </c>
      <c r="C24" s="2">
        <v>412369</v>
      </c>
      <c r="D24" s="2">
        <v>22433</v>
      </c>
      <c r="E24" s="2">
        <v>397541</v>
      </c>
      <c r="F24" s="10">
        <f t="shared" si="2"/>
        <v>809910</v>
      </c>
      <c r="G24" s="10">
        <f t="shared" si="3"/>
        <v>45413</v>
      </c>
      <c r="H24" s="2"/>
      <c r="I24" s="2"/>
      <c r="J24" s="2"/>
      <c r="K24" s="2"/>
      <c r="L24" s="2"/>
      <c r="M24" s="7"/>
      <c r="N24" s="8"/>
      <c r="O24" s="8"/>
      <c r="P24" s="8"/>
      <c r="Q24" s="10">
        <f t="shared" si="0"/>
        <v>809910</v>
      </c>
      <c r="R24" s="10">
        <f t="shared" si="1"/>
        <v>45413</v>
      </c>
      <c r="S24" s="8"/>
      <c r="T24" s="8"/>
      <c r="U24" s="8"/>
      <c r="V24" s="8"/>
      <c r="W24" s="8"/>
      <c r="X24" s="9"/>
      <c r="Y24" s="8"/>
      <c r="Z24" s="8"/>
      <c r="AA24" s="8"/>
      <c r="AB24" s="8"/>
      <c r="AC24" s="8"/>
      <c r="AD24" s="9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X24" s="8"/>
      <c r="AY24" s="8"/>
      <c r="AZ24" s="8"/>
      <c r="BA24" s="8"/>
      <c r="BB24" s="8"/>
    </row>
    <row r="25" spans="1:54" x14ac:dyDescent="0.25">
      <c r="A25" s="149">
        <v>41579</v>
      </c>
      <c r="B25" s="2">
        <v>22415</v>
      </c>
      <c r="C25" s="2">
        <v>421809</v>
      </c>
      <c r="D25" s="2">
        <v>21983</v>
      </c>
      <c r="E25" s="2">
        <v>381066</v>
      </c>
      <c r="F25" s="10">
        <f t="shared" si="2"/>
        <v>802875</v>
      </c>
      <c r="G25" s="10">
        <f t="shared" si="3"/>
        <v>44398</v>
      </c>
      <c r="H25" s="2"/>
      <c r="I25" s="2"/>
      <c r="J25" s="2"/>
      <c r="K25" s="2"/>
      <c r="L25" s="2"/>
      <c r="M25" s="7"/>
      <c r="N25" s="8"/>
      <c r="O25" s="8"/>
      <c r="P25" s="8"/>
      <c r="Q25" s="10">
        <f t="shared" si="0"/>
        <v>802875</v>
      </c>
      <c r="R25" s="10">
        <f t="shared" si="1"/>
        <v>44398</v>
      </c>
      <c r="S25" s="8"/>
      <c r="T25" s="8"/>
      <c r="U25" s="8"/>
      <c r="V25" s="8"/>
      <c r="W25" s="8"/>
      <c r="X25" s="9"/>
      <c r="Y25" s="8"/>
      <c r="Z25" s="8"/>
      <c r="AA25" s="8"/>
      <c r="AB25" s="8"/>
      <c r="AC25" s="8"/>
      <c r="AD25" s="9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X25" s="8"/>
      <c r="AY25" s="8"/>
      <c r="AZ25" s="8"/>
      <c r="BA25" s="8"/>
      <c r="BB25" s="8"/>
    </row>
    <row r="26" spans="1:54" x14ac:dyDescent="0.25">
      <c r="A26" s="149">
        <v>41609</v>
      </c>
      <c r="B26" s="2">
        <v>24945</v>
      </c>
      <c r="C26" s="2">
        <v>515278</v>
      </c>
      <c r="D26" s="2">
        <v>23340</v>
      </c>
      <c r="E26" s="2">
        <v>443950</v>
      </c>
      <c r="F26" s="10">
        <f t="shared" si="2"/>
        <v>959228</v>
      </c>
      <c r="G26" s="10">
        <f t="shared" si="3"/>
        <v>48285</v>
      </c>
      <c r="H26" s="11">
        <f>SUM(F15:F26)</f>
        <v>10127310</v>
      </c>
      <c r="I26" s="11">
        <f>AVERAGE(F15:F26)</f>
        <v>843942.5</v>
      </c>
      <c r="J26" s="11">
        <f>H26/365</f>
        <v>27746.054794520547</v>
      </c>
      <c r="K26" s="15">
        <f>(J26-J14)/J14</f>
        <v>-3.0665986835953053E-2</v>
      </c>
      <c r="L26" s="2"/>
      <c r="M26" s="7"/>
      <c r="N26" s="8"/>
      <c r="O26" s="8"/>
      <c r="P26" s="8"/>
      <c r="Q26" s="10">
        <f t="shared" si="0"/>
        <v>959228</v>
      </c>
      <c r="R26" s="10">
        <f t="shared" si="1"/>
        <v>48285</v>
      </c>
      <c r="S26" s="8"/>
      <c r="T26" s="8"/>
      <c r="U26" s="8"/>
      <c r="V26" s="8"/>
      <c r="W26" s="8"/>
      <c r="X26" s="9"/>
      <c r="Y26" s="8"/>
      <c r="Z26" s="8"/>
      <c r="AA26" s="8"/>
      <c r="AB26" s="8"/>
      <c r="AC26" s="8"/>
      <c r="AD26" s="9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X26" s="8"/>
      <c r="AY26" s="8"/>
      <c r="AZ26" s="8"/>
      <c r="BA26" s="8"/>
      <c r="BB26" s="8"/>
    </row>
    <row r="27" spans="1:54" x14ac:dyDescent="0.25">
      <c r="A27" s="149">
        <v>41640</v>
      </c>
      <c r="B27" s="2">
        <v>22537</v>
      </c>
      <c r="C27" s="2">
        <v>451329</v>
      </c>
      <c r="D27" s="2">
        <v>22351</v>
      </c>
      <c r="E27" s="2">
        <v>442060</v>
      </c>
      <c r="F27" s="10">
        <f t="shared" si="2"/>
        <v>893389</v>
      </c>
      <c r="G27" s="10">
        <f t="shared" si="3"/>
        <v>44888</v>
      </c>
      <c r="H27" s="2"/>
      <c r="I27" s="2"/>
      <c r="J27" s="2"/>
      <c r="K27" s="2"/>
      <c r="L27" s="2"/>
      <c r="M27" s="7"/>
      <c r="N27" s="8"/>
      <c r="O27" s="8"/>
      <c r="P27" s="8"/>
      <c r="Q27" s="10">
        <f t="shared" si="0"/>
        <v>893389</v>
      </c>
      <c r="R27" s="10">
        <f t="shared" si="1"/>
        <v>44888</v>
      </c>
      <c r="S27" s="8"/>
      <c r="T27" s="8"/>
      <c r="U27" s="8"/>
      <c r="V27" s="8"/>
      <c r="W27" s="8"/>
      <c r="X27" s="9"/>
      <c r="Y27" s="8"/>
      <c r="Z27" s="8"/>
      <c r="AA27" s="8"/>
      <c r="AB27" s="8"/>
      <c r="AC27" s="8"/>
      <c r="AD27" s="9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X27" s="8"/>
      <c r="AY27" s="8"/>
      <c r="AZ27" s="8"/>
      <c r="BA27" s="8"/>
      <c r="BB27" s="8"/>
    </row>
    <row r="28" spans="1:54" x14ac:dyDescent="0.25">
      <c r="A28" s="149">
        <v>41671</v>
      </c>
      <c r="B28" s="2">
        <v>21186</v>
      </c>
      <c r="C28" s="2">
        <v>397272</v>
      </c>
      <c r="D28" s="2">
        <v>19945</v>
      </c>
      <c r="E28" s="2">
        <v>310253</v>
      </c>
      <c r="F28" s="10">
        <f t="shared" si="2"/>
        <v>707525</v>
      </c>
      <c r="G28" s="10">
        <f t="shared" si="3"/>
        <v>41131</v>
      </c>
      <c r="H28" s="2"/>
      <c r="I28" s="2"/>
      <c r="J28" s="2"/>
      <c r="K28" s="2"/>
      <c r="L28" s="2"/>
      <c r="M28" s="7"/>
      <c r="N28" s="8"/>
      <c r="O28" s="8"/>
      <c r="P28" s="8"/>
      <c r="Q28" s="10">
        <f t="shared" si="0"/>
        <v>707525</v>
      </c>
      <c r="R28" s="10">
        <f t="shared" si="1"/>
        <v>41131</v>
      </c>
      <c r="S28" s="8"/>
      <c r="T28" s="8"/>
      <c r="U28" s="8"/>
      <c r="V28" s="8"/>
      <c r="W28" s="8"/>
      <c r="X28" s="9"/>
      <c r="Y28" s="8"/>
      <c r="Z28" s="8"/>
      <c r="AA28" s="8"/>
      <c r="AB28" s="8"/>
      <c r="AC28" s="8"/>
      <c r="AD28" s="9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X28" s="8"/>
      <c r="AY28" s="8"/>
      <c r="AZ28" s="8"/>
      <c r="BA28" s="8"/>
      <c r="BB28" s="8"/>
    </row>
    <row r="29" spans="1:54" x14ac:dyDescent="0.25">
      <c r="A29" s="149">
        <v>41699</v>
      </c>
      <c r="B29" s="2">
        <v>22909</v>
      </c>
      <c r="C29" s="2">
        <v>428566</v>
      </c>
      <c r="D29" s="2">
        <v>23041</v>
      </c>
      <c r="E29" s="2">
        <v>426253</v>
      </c>
      <c r="F29" s="10">
        <f t="shared" si="2"/>
        <v>854819</v>
      </c>
      <c r="G29" s="10">
        <f t="shared" si="3"/>
        <v>45950</v>
      </c>
      <c r="H29" s="2"/>
      <c r="I29" s="2"/>
      <c r="J29" s="2"/>
      <c r="K29" s="2"/>
      <c r="L29" s="2"/>
      <c r="M29" s="7"/>
      <c r="N29" s="8"/>
      <c r="O29" s="8"/>
      <c r="P29" s="8"/>
      <c r="Q29" s="10">
        <f t="shared" si="0"/>
        <v>854819</v>
      </c>
      <c r="R29" s="10">
        <f t="shared" si="1"/>
        <v>45950</v>
      </c>
      <c r="S29" s="8"/>
      <c r="T29" s="8"/>
      <c r="U29" s="8"/>
      <c r="V29" s="8"/>
      <c r="W29" s="8"/>
      <c r="X29" s="9"/>
      <c r="Y29" s="8"/>
      <c r="Z29" s="8"/>
      <c r="AA29" s="8"/>
      <c r="AB29" s="8"/>
      <c r="AC29" s="8"/>
      <c r="AD29" s="9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X29" s="8"/>
      <c r="AY29" s="8"/>
      <c r="AZ29" s="8"/>
      <c r="BA29" s="8"/>
      <c r="BB29" s="8"/>
    </row>
    <row r="30" spans="1:54" x14ac:dyDescent="0.25">
      <c r="A30" s="149">
        <v>41730</v>
      </c>
      <c r="B30" s="2">
        <v>22529</v>
      </c>
      <c r="C30" s="2">
        <v>459926</v>
      </c>
      <c r="D30" s="2">
        <v>21975</v>
      </c>
      <c r="E30" s="2">
        <v>407898</v>
      </c>
      <c r="F30" s="10">
        <f t="shared" si="2"/>
        <v>867824</v>
      </c>
      <c r="G30" s="10">
        <f t="shared" si="3"/>
        <v>44504</v>
      </c>
      <c r="H30" s="2"/>
      <c r="I30" s="2"/>
      <c r="J30" s="2"/>
      <c r="K30" s="2"/>
      <c r="L30" s="2"/>
      <c r="M30" s="7"/>
      <c r="N30" s="8"/>
      <c r="O30" s="8"/>
      <c r="P30" s="8"/>
      <c r="Q30" s="10">
        <f t="shared" si="0"/>
        <v>867824</v>
      </c>
      <c r="R30" s="10">
        <f t="shared" si="1"/>
        <v>44504</v>
      </c>
      <c r="S30" s="8"/>
      <c r="T30" s="8"/>
      <c r="U30" s="8"/>
      <c r="V30" s="8"/>
      <c r="W30" s="8"/>
      <c r="X30" s="9"/>
      <c r="Y30" s="8"/>
      <c r="Z30" s="8"/>
      <c r="AA30" s="8"/>
      <c r="AB30" s="8"/>
      <c r="AC30" s="8"/>
      <c r="AD30" s="9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X30" s="8"/>
      <c r="AY30" s="8"/>
      <c r="AZ30" s="8"/>
      <c r="BA30" s="8"/>
      <c r="BB30" s="8"/>
    </row>
    <row r="31" spans="1:54" x14ac:dyDescent="0.25">
      <c r="A31" s="149">
        <v>41760</v>
      </c>
      <c r="B31" s="2">
        <v>22032</v>
      </c>
      <c r="C31" s="2">
        <v>405365</v>
      </c>
      <c r="D31" s="2">
        <v>21611</v>
      </c>
      <c r="E31" s="2">
        <v>368611</v>
      </c>
      <c r="F31" s="10">
        <f t="shared" si="2"/>
        <v>773976</v>
      </c>
      <c r="G31" s="10">
        <f t="shared" si="3"/>
        <v>43643</v>
      </c>
      <c r="H31" s="2"/>
      <c r="I31" s="2"/>
      <c r="J31" s="2"/>
      <c r="K31" s="2"/>
      <c r="L31" s="2"/>
      <c r="M31" s="7"/>
      <c r="N31" s="8"/>
      <c r="O31" s="8"/>
      <c r="P31" s="8"/>
      <c r="Q31" s="10">
        <f t="shared" si="0"/>
        <v>773976</v>
      </c>
      <c r="R31" s="10">
        <f t="shared" si="1"/>
        <v>43643</v>
      </c>
      <c r="S31" s="8"/>
      <c r="T31" s="8"/>
      <c r="U31" s="8"/>
      <c r="V31" s="8"/>
      <c r="W31" s="8"/>
      <c r="X31" s="9"/>
      <c r="Y31" s="8"/>
      <c r="Z31" s="8"/>
      <c r="AA31" s="8"/>
      <c r="AB31" s="8"/>
      <c r="AC31" s="8"/>
      <c r="AD31" s="9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X31" s="8"/>
      <c r="AY31" s="8"/>
      <c r="AZ31" s="8"/>
      <c r="BA31" s="8"/>
      <c r="BB31" s="8"/>
    </row>
    <row r="32" spans="1:54" x14ac:dyDescent="0.25">
      <c r="A32" s="149">
        <v>41791</v>
      </c>
      <c r="B32" s="2">
        <v>22022</v>
      </c>
      <c r="C32" s="2">
        <v>444411</v>
      </c>
      <c r="D32" s="2">
        <v>21725</v>
      </c>
      <c r="E32" s="2">
        <v>393530</v>
      </c>
      <c r="F32" s="10">
        <f t="shared" si="2"/>
        <v>837941</v>
      </c>
      <c r="G32" s="10">
        <f t="shared" si="3"/>
        <v>43747</v>
      </c>
      <c r="H32" s="2"/>
      <c r="I32" s="2"/>
      <c r="J32" s="2"/>
      <c r="K32" s="2"/>
      <c r="L32" s="2"/>
      <c r="M32" s="7"/>
      <c r="N32" s="8"/>
      <c r="O32" s="8"/>
      <c r="P32" s="8"/>
      <c r="Q32" s="10">
        <f t="shared" si="0"/>
        <v>837941</v>
      </c>
      <c r="R32" s="10">
        <f t="shared" si="1"/>
        <v>43747</v>
      </c>
      <c r="S32" s="8"/>
      <c r="T32" s="8"/>
      <c r="U32" s="8"/>
      <c r="V32" s="8"/>
      <c r="W32" s="8"/>
      <c r="X32" s="9"/>
      <c r="Y32" s="8"/>
      <c r="Z32" s="8"/>
      <c r="AA32" s="8"/>
      <c r="AB32" s="8"/>
      <c r="AC32" s="8"/>
      <c r="AD32" s="9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X32" s="8"/>
      <c r="AY32" s="8"/>
      <c r="AZ32" s="8"/>
      <c r="BA32" s="8"/>
      <c r="BB32" s="8"/>
    </row>
    <row r="33" spans="1:54" x14ac:dyDescent="0.25">
      <c r="A33" s="149">
        <v>41821</v>
      </c>
      <c r="B33" s="2">
        <v>22366</v>
      </c>
      <c r="C33" s="2">
        <v>435921</v>
      </c>
      <c r="D33" s="2">
        <v>22127</v>
      </c>
      <c r="E33" s="2">
        <v>408373</v>
      </c>
      <c r="F33" s="10">
        <f t="shared" si="2"/>
        <v>844294</v>
      </c>
      <c r="G33" s="10">
        <f t="shared" si="3"/>
        <v>44493</v>
      </c>
      <c r="H33" s="2"/>
      <c r="I33" s="2"/>
      <c r="J33" s="2"/>
      <c r="K33" s="2"/>
      <c r="L33" s="2"/>
      <c r="M33" s="7"/>
      <c r="N33" s="8"/>
      <c r="O33" s="8"/>
      <c r="P33" s="8"/>
      <c r="Q33" s="10">
        <f t="shared" si="0"/>
        <v>844294</v>
      </c>
      <c r="R33" s="10">
        <f t="shared" si="1"/>
        <v>44493</v>
      </c>
      <c r="S33" s="8"/>
      <c r="T33" s="8"/>
      <c r="U33" s="8"/>
      <c r="V33" s="8"/>
      <c r="W33" s="8"/>
      <c r="X33" s="9"/>
      <c r="Y33" s="8"/>
      <c r="Z33" s="8"/>
      <c r="AA33" s="8"/>
      <c r="AB33" s="8"/>
      <c r="AC33" s="8"/>
      <c r="AD33" s="9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X33" s="8"/>
      <c r="AY33" s="8"/>
      <c r="AZ33" s="8"/>
      <c r="BA33" s="8"/>
      <c r="BB33" s="8"/>
    </row>
    <row r="34" spans="1:54" x14ac:dyDescent="0.25">
      <c r="A34" s="149">
        <v>41852</v>
      </c>
      <c r="B34" s="2">
        <v>22295</v>
      </c>
      <c r="C34" s="2">
        <v>437397</v>
      </c>
      <c r="D34" s="2">
        <v>21807</v>
      </c>
      <c r="E34" s="2">
        <v>392947</v>
      </c>
      <c r="F34" s="10">
        <f t="shared" si="2"/>
        <v>830344</v>
      </c>
      <c r="G34" s="10">
        <f t="shared" si="3"/>
        <v>44102</v>
      </c>
      <c r="H34" s="2"/>
      <c r="I34" s="2"/>
      <c r="J34" s="2"/>
      <c r="K34" s="2"/>
      <c r="L34" s="2"/>
      <c r="M34" s="7"/>
      <c r="N34" s="8"/>
      <c r="O34" s="8"/>
      <c r="P34" s="8"/>
      <c r="Q34" s="10">
        <f t="shared" si="0"/>
        <v>830344</v>
      </c>
      <c r="R34" s="10">
        <f t="shared" si="1"/>
        <v>44102</v>
      </c>
      <c r="S34" s="8"/>
      <c r="T34" s="8"/>
      <c r="U34" s="8"/>
      <c r="V34" s="8"/>
      <c r="W34" s="8"/>
      <c r="X34" s="9"/>
      <c r="Y34" s="8"/>
      <c r="Z34" s="8"/>
      <c r="AA34" s="8"/>
      <c r="AB34" s="8"/>
      <c r="AC34" s="8"/>
      <c r="AD34" s="9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X34" s="8"/>
      <c r="AY34" s="8"/>
      <c r="AZ34" s="8"/>
      <c r="BA34" s="8"/>
      <c r="BB34" s="8"/>
    </row>
    <row r="35" spans="1:54" x14ac:dyDescent="0.25">
      <c r="A35" s="149">
        <v>41883</v>
      </c>
      <c r="B35" s="2">
        <v>21021</v>
      </c>
      <c r="C35" s="2">
        <v>401301</v>
      </c>
      <c r="D35" s="2">
        <v>20583</v>
      </c>
      <c r="E35" s="2">
        <v>359629</v>
      </c>
      <c r="F35" s="10">
        <f t="shared" si="2"/>
        <v>760930</v>
      </c>
      <c r="G35" s="10">
        <f t="shared" si="3"/>
        <v>41604</v>
      </c>
      <c r="H35" s="2"/>
      <c r="I35" s="2"/>
      <c r="J35" s="2"/>
      <c r="K35" s="2"/>
      <c r="L35" s="2"/>
      <c r="M35" s="7"/>
      <c r="N35" s="8"/>
      <c r="O35" s="8"/>
      <c r="P35" s="8"/>
      <c r="Q35" s="10">
        <f t="shared" si="0"/>
        <v>760930</v>
      </c>
      <c r="R35" s="10">
        <f t="shared" si="1"/>
        <v>41604</v>
      </c>
      <c r="S35" s="8"/>
      <c r="T35" s="8"/>
      <c r="U35" s="8"/>
      <c r="V35" s="8"/>
      <c r="W35" s="8"/>
      <c r="X35" s="9"/>
      <c r="Y35" s="8"/>
      <c r="Z35" s="8"/>
      <c r="AA35" s="8"/>
      <c r="AB35" s="8"/>
      <c r="AC35" s="8"/>
      <c r="AD35" s="9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X35" s="8"/>
      <c r="AY35" s="8"/>
      <c r="AZ35" s="8"/>
      <c r="BA35" s="8"/>
      <c r="BB35" s="8"/>
    </row>
    <row r="36" spans="1:54" x14ac:dyDescent="0.25">
      <c r="A36" s="149">
        <v>41913</v>
      </c>
      <c r="B36" s="2">
        <v>22203</v>
      </c>
      <c r="C36" s="2">
        <v>437551</v>
      </c>
      <c r="D36" s="2">
        <v>21707</v>
      </c>
      <c r="E36" s="2">
        <v>391961</v>
      </c>
      <c r="F36" s="10">
        <f t="shared" si="2"/>
        <v>829512</v>
      </c>
      <c r="G36" s="10">
        <f t="shared" si="3"/>
        <v>43910</v>
      </c>
      <c r="H36" s="2"/>
      <c r="I36" s="2"/>
      <c r="J36" s="2"/>
      <c r="K36" s="2"/>
      <c r="L36" s="2"/>
      <c r="M36" s="7"/>
      <c r="N36" s="8"/>
      <c r="O36" s="8"/>
      <c r="P36" s="8"/>
      <c r="Q36" s="10">
        <f t="shared" si="0"/>
        <v>829512</v>
      </c>
      <c r="R36" s="10">
        <f t="shared" si="1"/>
        <v>43910</v>
      </c>
      <c r="S36" s="8"/>
      <c r="T36" s="8"/>
      <c r="U36" s="8"/>
      <c r="V36" s="8"/>
      <c r="W36" s="8"/>
      <c r="X36" s="9"/>
      <c r="Y36" s="8"/>
      <c r="Z36" s="8"/>
      <c r="AA36" s="8"/>
      <c r="AB36" s="8"/>
      <c r="AC36" s="8"/>
      <c r="AD36" s="9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X36" s="8"/>
      <c r="AY36" s="8"/>
      <c r="AZ36" s="8"/>
      <c r="BA36" s="8"/>
      <c r="BB36" s="8"/>
    </row>
    <row r="37" spans="1:54" x14ac:dyDescent="0.25">
      <c r="A37" s="149">
        <v>41944</v>
      </c>
      <c r="B37" s="2">
        <v>21159</v>
      </c>
      <c r="C37" s="2">
        <v>388967</v>
      </c>
      <c r="D37" s="2">
        <v>20705</v>
      </c>
      <c r="E37" s="2">
        <v>349961</v>
      </c>
      <c r="F37" s="10">
        <f t="shared" si="2"/>
        <v>738928</v>
      </c>
      <c r="G37" s="10">
        <f t="shared" si="3"/>
        <v>41864</v>
      </c>
      <c r="H37" s="2"/>
      <c r="I37" s="2"/>
      <c r="J37" s="2"/>
      <c r="K37" s="2"/>
      <c r="L37" s="2"/>
      <c r="M37" s="7"/>
      <c r="N37" s="8"/>
      <c r="O37" s="8"/>
      <c r="P37" s="8"/>
      <c r="Q37" s="10">
        <f t="shared" si="0"/>
        <v>738928</v>
      </c>
      <c r="R37" s="10">
        <f t="shared" si="1"/>
        <v>41864</v>
      </c>
      <c r="S37" s="8"/>
      <c r="T37" s="8"/>
      <c r="U37" s="8"/>
      <c r="V37" s="8"/>
      <c r="W37" s="8"/>
      <c r="X37" s="9"/>
      <c r="Y37" s="8"/>
      <c r="Z37" s="8"/>
      <c r="AA37" s="8"/>
      <c r="AB37" s="8"/>
      <c r="AC37" s="8"/>
      <c r="AD37" s="9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X37" s="8"/>
      <c r="AY37" s="8"/>
      <c r="AZ37" s="8"/>
      <c r="BA37" s="8"/>
      <c r="BB37" s="8"/>
    </row>
    <row r="38" spans="1:54" x14ac:dyDescent="0.25">
      <c r="A38" s="149">
        <v>41974</v>
      </c>
      <c r="B38" s="2">
        <v>24430</v>
      </c>
      <c r="C38" s="2">
        <v>553953</v>
      </c>
      <c r="D38" s="2">
        <v>23068</v>
      </c>
      <c r="E38" s="2">
        <v>446014</v>
      </c>
      <c r="F38" s="10">
        <f t="shared" si="2"/>
        <v>999967</v>
      </c>
      <c r="G38" s="10">
        <f t="shared" si="3"/>
        <v>47498</v>
      </c>
      <c r="H38" s="11">
        <f>SUM(F27:F38)</f>
        <v>9939449</v>
      </c>
      <c r="I38" s="11">
        <f>AVERAGE(F27:F38)</f>
        <v>828287.41666666663</v>
      </c>
      <c r="J38" s="11">
        <f>H38/365</f>
        <v>27231.36712328767</v>
      </c>
      <c r="K38" s="15">
        <f>(J38-J26)/J26</f>
        <v>-1.854994070488613E-2</v>
      </c>
      <c r="L38" s="2"/>
      <c r="M38" s="7"/>
      <c r="N38" s="8"/>
      <c r="O38" s="8"/>
      <c r="P38" s="8"/>
      <c r="Q38" s="10">
        <f>C38+E38</f>
        <v>999967</v>
      </c>
      <c r="R38" s="10">
        <f>B38+D38</f>
        <v>47498</v>
      </c>
      <c r="S38" s="8"/>
      <c r="T38" s="8"/>
      <c r="U38" s="8"/>
      <c r="V38" s="8"/>
      <c r="W38" s="8"/>
      <c r="X38" s="9"/>
      <c r="Y38" s="8"/>
      <c r="Z38" s="8"/>
      <c r="AA38" s="8"/>
      <c r="AB38" s="8"/>
      <c r="AC38" s="8"/>
      <c r="AD38" s="9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X38" s="8"/>
      <c r="AY38" s="8"/>
      <c r="AZ38" s="8"/>
      <c r="BA38" s="8"/>
      <c r="BB38" s="8"/>
    </row>
    <row r="39" spans="1:54" x14ac:dyDescent="0.25">
      <c r="A39" s="149">
        <v>42005</v>
      </c>
      <c r="B39" s="2">
        <v>23028</v>
      </c>
      <c r="C39" s="2">
        <v>475417</v>
      </c>
      <c r="D39" s="2">
        <v>23051</v>
      </c>
      <c r="E39" s="2">
        <v>486765</v>
      </c>
      <c r="F39" s="10">
        <f t="shared" si="2"/>
        <v>962182</v>
      </c>
      <c r="G39" s="10">
        <f t="shared" si="3"/>
        <v>46079</v>
      </c>
      <c r="H39" s="2"/>
      <c r="I39" s="2"/>
      <c r="J39" s="2"/>
      <c r="K39" s="2"/>
      <c r="L39" s="2"/>
      <c r="M39" s="11">
        <f>ROUND(AVERAGE(AD51,AD63,AD75,AD87,AD99)*O39,0)</f>
        <v>21010</v>
      </c>
      <c r="N39" s="11">
        <f>ROUND(AVERAGE(X51,X63,X75,X87,X99)*P39,0)</f>
        <v>409335</v>
      </c>
      <c r="O39" s="12">
        <f>17957+3122+60</f>
        <v>21139</v>
      </c>
      <c r="P39" s="12">
        <f>328214+92194+1502</f>
        <v>421910</v>
      </c>
      <c r="Q39" s="10">
        <f>N39+P39</f>
        <v>831245</v>
      </c>
      <c r="R39" s="18">
        <f>M39+O39</f>
        <v>42149</v>
      </c>
      <c r="S39" s="8"/>
      <c r="T39" s="8"/>
      <c r="U39" s="8"/>
      <c r="V39" s="8"/>
      <c r="W39" s="14">
        <f>Q39/S50</f>
        <v>9.85379079538381E-2</v>
      </c>
      <c r="X39" s="9"/>
      <c r="Y39" s="8"/>
      <c r="Z39" s="8"/>
      <c r="AA39" s="8"/>
      <c r="AB39" s="8"/>
      <c r="AC39" s="14">
        <f>R39/Y50</f>
        <v>8.8758654963863953E-2</v>
      </c>
      <c r="AD39" s="9">
        <f>M39/O39</f>
        <v>0.99389753536118075</v>
      </c>
      <c r="AE39" s="8"/>
      <c r="AF39" s="8"/>
      <c r="AG39" s="8"/>
      <c r="AH39" s="8"/>
      <c r="AI39" s="14">
        <f>E39/AE50</f>
        <v>2.0344179048335529</v>
      </c>
      <c r="AJ39" s="8"/>
      <c r="AK39" s="8"/>
      <c r="AL39" s="8"/>
      <c r="AM39" s="8"/>
      <c r="AN39" s="8"/>
      <c r="AO39" s="8"/>
      <c r="AP39" s="8"/>
      <c r="AQ39" s="8"/>
      <c r="AR39" s="14">
        <f>N39/AN50</f>
        <v>9.3884238911173562E-2</v>
      </c>
      <c r="AS39" s="8"/>
      <c r="AT39" s="8"/>
      <c r="AU39" s="8"/>
      <c r="AV39" s="8"/>
      <c r="AW39" s="33">
        <f>N39/M39</f>
        <v>19.48286530223703</v>
      </c>
      <c r="AY39" s="8"/>
      <c r="AZ39" s="8"/>
      <c r="BA39" s="8"/>
      <c r="BB39" s="8"/>
    </row>
    <row r="40" spans="1:54" x14ac:dyDescent="0.25">
      <c r="A40" s="149">
        <v>42036</v>
      </c>
      <c r="B40" s="2">
        <v>20568</v>
      </c>
      <c r="C40" s="2">
        <v>398492</v>
      </c>
      <c r="D40" s="2">
        <v>20066</v>
      </c>
      <c r="E40" s="2">
        <v>369881</v>
      </c>
      <c r="F40" s="10">
        <f t="shared" si="2"/>
        <v>768373</v>
      </c>
      <c r="G40" s="10">
        <f t="shared" si="3"/>
        <v>40634</v>
      </c>
      <c r="H40" s="2"/>
      <c r="I40" s="2"/>
      <c r="J40" s="2"/>
      <c r="K40" s="2"/>
      <c r="L40" s="2"/>
      <c r="M40" s="11">
        <f>ROUND(AVERAGE(AD52,AD64,AD76,AD88,AD100)*O40,0)</f>
        <v>19061</v>
      </c>
      <c r="N40" s="11">
        <f>ROUND(AVERAGE(X52,X64,X76,X88,X100)*P40,0)</f>
        <v>350794</v>
      </c>
      <c r="O40" s="12">
        <f>16156+2552+53</f>
        <v>18761</v>
      </c>
      <c r="P40" s="12">
        <f>263561+66494+939</f>
        <v>330994</v>
      </c>
      <c r="Q40" s="10">
        <f t="shared" ref="Q40:Q50" si="4">N40+P40</f>
        <v>681788</v>
      </c>
      <c r="R40" s="18">
        <f t="shared" ref="R40:R49" si="5">M40+O40</f>
        <v>37822</v>
      </c>
      <c r="S40" s="8"/>
      <c r="T40" s="8"/>
      <c r="U40" s="8"/>
      <c r="V40" s="8"/>
      <c r="W40" s="14">
        <f>Q40/S50</f>
        <v>8.0820892983454184E-2</v>
      </c>
      <c r="X40" s="9"/>
      <c r="Y40" s="8"/>
      <c r="Z40" s="8"/>
      <c r="AA40" s="8"/>
      <c r="AB40" s="8"/>
      <c r="AC40" s="14">
        <f>R40/Y50</f>
        <v>7.964672585454606E-2</v>
      </c>
      <c r="AD40" s="9">
        <f t="shared" ref="AD40:AD50" si="6">M40/O40</f>
        <v>1.015990618836949</v>
      </c>
      <c r="AE40" s="8"/>
      <c r="AF40" s="8"/>
      <c r="AG40" s="8"/>
      <c r="AH40" s="8"/>
      <c r="AI40" s="14">
        <f>E40/AE50</f>
        <v>1.5459051679100579</v>
      </c>
      <c r="AJ40" s="8"/>
      <c r="AK40" s="8"/>
      <c r="AL40" s="8"/>
      <c r="AM40" s="8"/>
      <c r="AN40" s="8"/>
      <c r="AO40" s="8"/>
      <c r="AP40" s="8"/>
      <c r="AQ40" s="8"/>
      <c r="AR40" s="14">
        <f>N40/AN50</f>
        <v>8.0457394810134045E-2</v>
      </c>
      <c r="AS40" s="8"/>
      <c r="AT40" s="8"/>
      <c r="AU40" s="8"/>
      <c r="AV40" s="8"/>
      <c r="AW40" s="33">
        <f t="shared" ref="AW40:AW103" si="7">N40/M40</f>
        <v>18.403756361156287</v>
      </c>
      <c r="AX40" s="8"/>
      <c r="AY40" s="8"/>
      <c r="AZ40" s="8"/>
      <c r="BA40" s="8"/>
      <c r="BB40" s="8"/>
    </row>
    <row r="41" spans="1:54" x14ac:dyDescent="0.25">
      <c r="A41" s="149">
        <v>42064</v>
      </c>
      <c r="B41" s="2">
        <v>21250</v>
      </c>
      <c r="C41" s="2">
        <v>366097</v>
      </c>
      <c r="D41" s="2">
        <v>20686</v>
      </c>
      <c r="E41" s="2">
        <v>325524</v>
      </c>
      <c r="F41" s="10">
        <f t="shared" si="2"/>
        <v>691621</v>
      </c>
      <c r="G41" s="10">
        <f t="shared" si="3"/>
        <v>41936</v>
      </c>
      <c r="H41" s="2"/>
      <c r="I41" s="2"/>
      <c r="J41" s="2"/>
      <c r="K41" s="2"/>
      <c r="L41" s="2"/>
      <c r="M41" s="11">
        <f t="shared" ref="M41:M50" si="8">ROUND(AVERAGE(AD53,AD65,AD77,AD89,AD101)*O41,0)</f>
        <v>20167</v>
      </c>
      <c r="N41" s="11">
        <f t="shared" ref="N41:N50" si="9">ROUND(AVERAGE(X53,X65,X77,X89,X101)*P41,0)</f>
        <v>322177</v>
      </c>
      <c r="O41" s="12">
        <f>17399+2339+61</f>
        <v>19799</v>
      </c>
      <c r="P41" s="12">
        <f>251087+52543+847</f>
        <v>304477</v>
      </c>
      <c r="Q41" s="10">
        <f>N41+P41</f>
        <v>626654</v>
      </c>
      <c r="R41" s="18">
        <f t="shared" si="5"/>
        <v>39966</v>
      </c>
      <c r="S41" s="8"/>
      <c r="T41" s="8"/>
      <c r="U41" s="8"/>
      <c r="V41" s="8"/>
      <c r="W41" s="14">
        <f>Q41/S50</f>
        <v>7.4285167635179117E-2</v>
      </c>
      <c r="X41" s="9"/>
      <c r="Y41" s="8"/>
      <c r="Z41" s="8"/>
      <c r="AA41" s="8"/>
      <c r="AB41" s="8"/>
      <c r="AC41" s="14">
        <f>R41/Y50</f>
        <v>8.4161626712040291E-2</v>
      </c>
      <c r="AD41" s="9">
        <f t="shared" si="6"/>
        <v>1.0185867973129956</v>
      </c>
      <c r="AE41" s="8"/>
      <c r="AF41" s="8"/>
      <c r="AG41" s="8"/>
      <c r="AH41" s="8"/>
      <c r="AI41" s="14">
        <f>E41/AE50</f>
        <v>1.3605165820324745</v>
      </c>
      <c r="AJ41" s="8"/>
      <c r="AK41" s="8"/>
      <c r="AL41" s="8"/>
      <c r="AM41" s="8"/>
      <c r="AN41" s="8"/>
      <c r="AO41" s="8"/>
      <c r="AP41" s="8"/>
      <c r="AQ41" s="8"/>
      <c r="AR41" s="14">
        <f>N41/AN50</f>
        <v>7.3893858183847375E-2</v>
      </c>
      <c r="AS41" s="8"/>
      <c r="AT41" s="8"/>
      <c r="AU41" s="8"/>
      <c r="AV41" s="8"/>
      <c r="AW41" s="33">
        <f t="shared" si="7"/>
        <v>15.975454951157833</v>
      </c>
      <c r="AX41" s="8"/>
      <c r="AY41" s="8"/>
      <c r="AZ41" s="8"/>
      <c r="BA41" s="8"/>
      <c r="BB41" s="8"/>
    </row>
    <row r="42" spans="1:54" x14ac:dyDescent="0.25">
      <c r="A42" s="149">
        <v>42095</v>
      </c>
      <c r="B42" s="2">
        <v>21708</v>
      </c>
      <c r="C42" s="2">
        <v>417850</v>
      </c>
      <c r="D42" s="2">
        <v>20924</v>
      </c>
      <c r="E42" s="2">
        <v>372460</v>
      </c>
      <c r="F42" s="10">
        <f t="shared" si="2"/>
        <v>790310</v>
      </c>
      <c r="G42" s="10">
        <f t="shared" si="3"/>
        <v>42632</v>
      </c>
      <c r="H42" s="2"/>
      <c r="I42" s="2"/>
      <c r="J42" s="2"/>
      <c r="K42" s="2"/>
      <c r="L42" s="2"/>
      <c r="M42" s="11">
        <f t="shared" si="8"/>
        <v>20602</v>
      </c>
      <c r="N42" s="11">
        <f t="shared" si="9"/>
        <v>375694</v>
      </c>
      <c r="O42" s="12">
        <f>17342+2511+53</f>
        <v>19906</v>
      </c>
      <c r="P42" s="12">
        <f>282245+63633+705</f>
        <v>346583</v>
      </c>
      <c r="Q42" s="10">
        <f t="shared" si="4"/>
        <v>722277</v>
      </c>
      <c r="R42" s="18">
        <f t="shared" si="5"/>
        <v>40508</v>
      </c>
      <c r="S42" s="8"/>
      <c r="T42" s="8"/>
      <c r="U42" s="8"/>
      <c r="V42" s="8"/>
      <c r="W42" s="14">
        <f>Q42/S50</f>
        <v>8.5620562581638776E-2</v>
      </c>
      <c r="X42" s="9"/>
      <c r="Y42" s="8"/>
      <c r="Z42" s="8"/>
      <c r="AA42" s="8"/>
      <c r="AB42" s="8"/>
      <c r="AC42" s="14">
        <f>R42/Y50</f>
        <v>8.5302986910156836E-2</v>
      </c>
      <c r="AD42" s="9">
        <f t="shared" si="6"/>
        <v>1.0349643323621018</v>
      </c>
      <c r="AE42" s="8"/>
      <c r="AF42" s="8"/>
      <c r="AG42" s="8"/>
      <c r="AH42" s="8"/>
      <c r="AI42" s="14">
        <f>E42/AE50</f>
        <v>1.5566840114517375</v>
      </c>
      <c r="AJ42" s="8"/>
      <c r="AK42" s="8"/>
      <c r="AL42" s="8"/>
      <c r="AM42" s="8"/>
      <c r="AN42" s="8"/>
      <c r="AO42" s="8"/>
      <c r="AP42" s="8"/>
      <c r="AQ42" s="8"/>
      <c r="AR42" s="14">
        <f>N42/AN50</f>
        <v>8.6168407914042136E-2</v>
      </c>
      <c r="AS42" s="8"/>
      <c r="AT42" s="8"/>
      <c r="AU42" s="8"/>
      <c r="AV42" s="8"/>
      <c r="AW42" s="33">
        <f t="shared" si="7"/>
        <v>18.235802349286477</v>
      </c>
      <c r="AX42" s="8"/>
      <c r="AY42" s="8"/>
      <c r="AZ42" s="8"/>
      <c r="BA42" s="8"/>
      <c r="BB42" s="8"/>
    </row>
    <row r="43" spans="1:54" x14ac:dyDescent="0.25">
      <c r="A43" s="149">
        <v>42125</v>
      </c>
      <c r="B43" s="2">
        <v>21456</v>
      </c>
      <c r="C43" s="2">
        <v>370417</v>
      </c>
      <c r="D43" s="2">
        <v>20494</v>
      </c>
      <c r="E43" s="2">
        <v>328172</v>
      </c>
      <c r="F43" s="10">
        <f t="shared" si="2"/>
        <v>698589</v>
      </c>
      <c r="G43" s="10">
        <f t="shared" si="3"/>
        <v>41950</v>
      </c>
      <c r="H43" s="2"/>
      <c r="I43" s="2"/>
      <c r="J43" s="2"/>
      <c r="K43" s="2"/>
      <c r="L43" s="2"/>
      <c r="M43" s="11">
        <f t="shared" si="8"/>
        <v>20371</v>
      </c>
      <c r="N43" s="11">
        <f t="shared" si="9"/>
        <v>337856</v>
      </c>
      <c r="O43" s="12">
        <f>17192+2352+61</f>
        <v>19605</v>
      </c>
      <c r="P43" s="12">
        <f>255458+52712+565</f>
        <v>308735</v>
      </c>
      <c r="Q43" s="10">
        <f t="shared" si="4"/>
        <v>646591</v>
      </c>
      <c r="R43" s="18">
        <f t="shared" si="5"/>
        <v>39976</v>
      </c>
      <c r="S43" s="8"/>
      <c r="T43" s="8"/>
      <c r="U43" s="8"/>
      <c r="V43" s="8"/>
      <c r="W43" s="14">
        <f>Q43/S50</f>
        <v>7.6648550597934587E-2</v>
      </c>
      <c r="X43" s="9"/>
      <c r="Y43" s="8"/>
      <c r="Z43" s="8"/>
      <c r="AA43" s="8"/>
      <c r="AB43" s="8"/>
      <c r="AC43" s="14">
        <f>R43/Y50</f>
        <v>8.4182685018278608E-2</v>
      </c>
      <c r="AD43" s="9">
        <f t="shared" si="6"/>
        <v>1.0390716653914818</v>
      </c>
      <c r="AE43" s="8"/>
      <c r="AF43" s="8"/>
      <c r="AG43" s="8"/>
      <c r="AH43" s="8"/>
      <c r="AI43" s="14">
        <f>E43/AE50</f>
        <v>1.3715838087476229</v>
      </c>
      <c r="AJ43" s="8"/>
      <c r="AK43" s="8"/>
      <c r="AL43" s="8"/>
      <c r="AM43" s="8"/>
      <c r="AN43" s="8"/>
      <c r="AO43" s="8"/>
      <c r="AP43" s="8"/>
      <c r="AQ43" s="8"/>
      <c r="AR43" s="14">
        <f>N43/AN50</f>
        <v>7.7489961575661639E-2</v>
      </c>
      <c r="AS43" s="8"/>
      <c r="AT43" s="8"/>
      <c r="AU43" s="8"/>
      <c r="AV43" s="8"/>
      <c r="AW43" s="33">
        <f t="shared" si="7"/>
        <v>16.585145550046636</v>
      </c>
      <c r="AX43" s="8"/>
      <c r="AY43" s="8"/>
      <c r="AZ43" s="8"/>
      <c r="BA43" s="8"/>
      <c r="BB43" s="8"/>
    </row>
    <row r="44" spans="1:54" x14ac:dyDescent="0.25">
      <c r="A44" s="149">
        <v>42156</v>
      </c>
      <c r="B44" s="2">
        <v>20843</v>
      </c>
      <c r="C44" s="2">
        <v>364740</v>
      </c>
      <c r="D44" s="2">
        <v>20443</v>
      </c>
      <c r="E44" s="2">
        <v>330653</v>
      </c>
      <c r="F44" s="10">
        <f t="shared" si="2"/>
        <v>695393</v>
      </c>
      <c r="G44" s="10">
        <f t="shared" si="3"/>
        <v>41286</v>
      </c>
      <c r="H44" s="2"/>
      <c r="I44" s="2"/>
      <c r="J44" s="2"/>
      <c r="K44" s="2"/>
      <c r="L44" s="2"/>
      <c r="M44" s="11">
        <f t="shared" si="8"/>
        <v>20296</v>
      </c>
      <c r="N44" s="11">
        <f t="shared" si="9"/>
        <v>341910</v>
      </c>
      <c r="O44" s="12">
        <f>17214+2303+49</f>
        <v>19566</v>
      </c>
      <c r="P44" s="12">
        <f>256058+54646+603</f>
        <v>311307</v>
      </c>
      <c r="Q44" s="10">
        <f t="shared" si="4"/>
        <v>653217</v>
      </c>
      <c r="R44" s="18">
        <f t="shared" si="5"/>
        <v>39862</v>
      </c>
      <c r="S44" s="8"/>
      <c r="T44" s="8"/>
      <c r="U44" s="8"/>
      <c r="V44" s="8"/>
      <c r="W44" s="14">
        <f>Q44/S50</f>
        <v>7.7434013581894945E-2</v>
      </c>
      <c r="X44" s="9"/>
      <c r="Y44" s="8"/>
      <c r="Z44" s="8"/>
      <c r="AA44" s="8"/>
      <c r="AB44" s="8"/>
      <c r="AC44" s="14">
        <f>R44/Y50</f>
        <v>8.3942620327161849E-2</v>
      </c>
      <c r="AD44" s="9">
        <f t="shared" si="6"/>
        <v>1.037309618726362</v>
      </c>
      <c r="AE44" s="8"/>
      <c r="AF44" s="8"/>
      <c r="AG44" s="8"/>
      <c r="AH44" s="8"/>
      <c r="AI44" s="14">
        <f>E44/AE50</f>
        <v>1.3819530645936513</v>
      </c>
      <c r="AJ44" s="8"/>
      <c r="AK44" s="8"/>
      <c r="AL44" s="8"/>
      <c r="AM44" s="8"/>
      <c r="AN44" s="8"/>
      <c r="AO44" s="8"/>
      <c r="AP44" s="8"/>
      <c r="AQ44" s="8"/>
      <c r="AR44" s="14">
        <f>N44/AN50</f>
        <v>7.8419778729205553E-2</v>
      </c>
      <c r="AS44" s="8"/>
      <c r="AT44" s="8"/>
      <c r="AU44" s="8"/>
      <c r="AV44" s="8"/>
      <c r="AW44" s="33">
        <f t="shared" si="7"/>
        <v>16.846176586519512</v>
      </c>
      <c r="AX44" s="8"/>
      <c r="AY44" s="8"/>
      <c r="AZ44" s="8"/>
      <c r="BA44" s="8"/>
      <c r="BB44" s="8"/>
    </row>
    <row r="45" spans="1:54" x14ac:dyDescent="0.25">
      <c r="A45" s="149">
        <v>42186</v>
      </c>
      <c r="B45" s="2">
        <v>22120</v>
      </c>
      <c r="C45" s="2">
        <v>473335</v>
      </c>
      <c r="D45" s="2">
        <v>21385</v>
      </c>
      <c r="E45" s="2">
        <v>415214</v>
      </c>
      <c r="F45" s="10">
        <f t="shared" si="2"/>
        <v>888549</v>
      </c>
      <c r="G45" s="10">
        <f t="shared" si="3"/>
        <v>43505</v>
      </c>
      <c r="H45" s="2"/>
      <c r="I45" s="2"/>
      <c r="J45" s="2"/>
      <c r="K45" s="2"/>
      <c r="L45" s="2"/>
      <c r="M45" s="11">
        <f t="shared" si="8"/>
        <v>20199</v>
      </c>
      <c r="N45" s="11">
        <f t="shared" si="9"/>
        <v>411140</v>
      </c>
      <c r="O45" s="12">
        <f>17602+2574+56</f>
        <v>20232</v>
      </c>
      <c r="P45" s="12">
        <f>305893+77325+1045</f>
        <v>384263</v>
      </c>
      <c r="Q45" s="10">
        <f t="shared" si="4"/>
        <v>795403</v>
      </c>
      <c r="R45" s="18">
        <f t="shared" si="5"/>
        <v>40431</v>
      </c>
      <c r="S45" s="8"/>
      <c r="T45" s="8"/>
      <c r="U45" s="8"/>
      <c r="V45" s="8"/>
      <c r="W45" s="14">
        <f>Q45/S50</f>
        <v>9.4289105618929059E-2</v>
      </c>
      <c r="X45" s="9"/>
      <c r="Y45" s="8"/>
      <c r="Z45" s="8"/>
      <c r="AA45" s="8"/>
      <c r="AB45" s="8"/>
      <c r="AC45" s="14">
        <f>R45/Y50</f>
        <v>8.5140837952121837E-2</v>
      </c>
      <c r="AD45" s="9">
        <f t="shared" si="6"/>
        <v>0.99836892052194548</v>
      </c>
      <c r="AE45" s="8"/>
      <c r="AF45" s="8"/>
      <c r="AG45" s="8"/>
      <c r="AH45" s="8"/>
      <c r="AI45" s="14">
        <f>E45/AE50</f>
        <v>1.7353729128790254</v>
      </c>
      <c r="AJ45" s="8"/>
      <c r="AK45" s="8"/>
      <c r="AL45" s="8"/>
      <c r="AM45" s="8"/>
      <c r="AN45" s="8"/>
      <c r="AO45" s="8"/>
      <c r="AP45" s="8"/>
      <c r="AQ45" s="8"/>
      <c r="AR45" s="14">
        <f>N45/AN50</f>
        <v>9.4298230021717902E-2</v>
      </c>
      <c r="AS45" s="8"/>
      <c r="AT45" s="8"/>
      <c r="AU45" s="8"/>
      <c r="AV45" s="8"/>
      <c r="AW45" s="33">
        <f t="shared" si="7"/>
        <v>20.354472993712559</v>
      </c>
      <c r="AX45" s="8"/>
      <c r="AY45" s="8"/>
      <c r="AZ45" s="8"/>
      <c r="BA45" s="8"/>
      <c r="BB45" s="8"/>
    </row>
    <row r="46" spans="1:54" x14ac:dyDescent="0.25">
      <c r="A46" s="149">
        <v>42217</v>
      </c>
      <c r="B46" s="2">
        <v>21100</v>
      </c>
      <c r="C46" s="2">
        <v>379101</v>
      </c>
      <c r="D46" s="2">
        <v>20853</v>
      </c>
      <c r="E46" s="2">
        <v>360124</v>
      </c>
      <c r="F46" s="10">
        <f t="shared" si="2"/>
        <v>739225</v>
      </c>
      <c r="G46" s="10">
        <f t="shared" si="3"/>
        <v>41953</v>
      </c>
      <c r="H46" s="2"/>
      <c r="I46" s="2"/>
      <c r="J46" s="2"/>
      <c r="K46" s="2"/>
      <c r="L46" s="2"/>
      <c r="M46" s="11">
        <f t="shared" si="8"/>
        <v>19680</v>
      </c>
      <c r="N46" s="11">
        <f t="shared" si="9"/>
        <v>340225</v>
      </c>
      <c r="O46" s="12">
        <f>17407+2395+52</f>
        <v>19854</v>
      </c>
      <c r="P46" s="12">
        <f>271882+62838+837</f>
        <v>335557</v>
      </c>
      <c r="Q46" s="10">
        <f t="shared" si="4"/>
        <v>675782</v>
      </c>
      <c r="R46" s="18">
        <f t="shared" si="5"/>
        <v>39534</v>
      </c>
      <c r="S46" s="8"/>
      <c r="T46" s="8"/>
      <c r="U46" s="8"/>
      <c r="V46" s="8"/>
      <c r="W46" s="14">
        <f>Q46/S50</f>
        <v>8.0108926384953441E-2</v>
      </c>
      <c r="X46" s="9"/>
      <c r="Y46" s="8"/>
      <c r="Z46" s="8"/>
      <c r="AA46" s="8"/>
      <c r="AB46" s="8"/>
      <c r="AC46" s="14">
        <f>R46/Y50</f>
        <v>8.325190788254519E-2</v>
      </c>
      <c r="AD46" s="9">
        <f t="shared" si="6"/>
        <v>0.991236022967664</v>
      </c>
      <c r="AE46" s="8"/>
      <c r="AF46" s="8"/>
      <c r="AG46" s="8"/>
      <c r="AH46" s="8"/>
      <c r="AI46" s="14">
        <f>E46/AE50</f>
        <v>1.5051261153950641</v>
      </c>
      <c r="AJ46" s="8"/>
      <c r="AK46" s="8"/>
      <c r="AL46" s="8"/>
      <c r="AM46" s="8"/>
      <c r="AN46" s="8"/>
      <c r="AO46" s="8"/>
      <c r="AP46" s="8"/>
      <c r="AQ46" s="8"/>
      <c r="AR46" s="14">
        <f>N46/AN50</f>
        <v>7.8033310573378839E-2</v>
      </c>
      <c r="AS46" s="8"/>
      <c r="AT46" s="8"/>
      <c r="AU46" s="8"/>
      <c r="AV46" s="8"/>
      <c r="AW46" s="33">
        <f t="shared" si="7"/>
        <v>17.287855691056912</v>
      </c>
      <c r="AX46" s="8"/>
      <c r="AY46" s="8"/>
      <c r="AZ46" s="8"/>
      <c r="BA46" s="8"/>
      <c r="BB46" s="8"/>
    </row>
    <row r="47" spans="1:54" x14ac:dyDescent="0.25">
      <c r="A47" s="149">
        <v>42248</v>
      </c>
      <c r="B47" s="2">
        <v>20562</v>
      </c>
      <c r="C47" s="2">
        <v>368066</v>
      </c>
      <c r="D47" s="2">
        <v>19928</v>
      </c>
      <c r="E47" s="2">
        <v>333284</v>
      </c>
      <c r="F47" s="10">
        <f t="shared" si="2"/>
        <v>701350</v>
      </c>
      <c r="G47" s="10">
        <f t="shared" si="3"/>
        <v>40490</v>
      </c>
      <c r="H47" s="2"/>
      <c r="I47" s="2"/>
      <c r="J47" s="2"/>
      <c r="K47" s="2"/>
      <c r="L47" s="2"/>
      <c r="M47" s="11">
        <f t="shared" si="8"/>
        <v>18830</v>
      </c>
      <c r="N47" s="11">
        <f t="shared" si="9"/>
        <v>329138</v>
      </c>
      <c r="O47" s="12">
        <f>16615+2310+44</f>
        <v>18969</v>
      </c>
      <c r="P47" s="12">
        <f>249822+60854+393</f>
        <v>311069</v>
      </c>
      <c r="Q47" s="10">
        <f t="shared" si="4"/>
        <v>640207</v>
      </c>
      <c r="R47" s="18">
        <f t="shared" si="5"/>
        <v>37799</v>
      </c>
      <c r="S47" s="8"/>
      <c r="T47" s="8"/>
      <c r="U47" s="8"/>
      <c r="V47" s="8"/>
      <c r="W47" s="14">
        <f>Q47/S50</f>
        <v>7.5891774912814916E-2</v>
      </c>
      <c r="X47" s="9"/>
      <c r="Y47" s="8"/>
      <c r="Z47" s="8"/>
      <c r="AA47" s="8"/>
      <c r="AB47" s="8"/>
      <c r="AC47" s="14">
        <f>R47/Y50</f>
        <v>7.9598291750197947E-2</v>
      </c>
      <c r="AD47" s="9">
        <f t="shared" si="6"/>
        <v>0.99267225473140386</v>
      </c>
      <c r="AE47" s="8"/>
      <c r="AF47" s="8"/>
      <c r="AG47" s="8"/>
      <c r="AH47" s="8"/>
      <c r="AI47" s="14">
        <f>E47/AE50</f>
        <v>1.3929492403820032</v>
      </c>
      <c r="AJ47" s="8"/>
      <c r="AK47" s="8"/>
      <c r="AL47" s="8"/>
      <c r="AM47" s="8"/>
      <c r="AN47" s="8"/>
      <c r="AO47" s="8"/>
      <c r="AP47" s="8"/>
      <c r="AQ47" s="8"/>
      <c r="AR47" s="14">
        <f>N47/AN50</f>
        <v>7.5490418915425864E-2</v>
      </c>
      <c r="AS47" s="8"/>
      <c r="AT47" s="8"/>
      <c r="AU47" s="8"/>
      <c r="AV47" s="8"/>
      <c r="AW47" s="33">
        <f t="shared" si="7"/>
        <v>17.479447689856613</v>
      </c>
      <c r="AX47" s="8"/>
      <c r="AY47" s="8"/>
      <c r="AZ47" s="8"/>
      <c r="BA47" s="8"/>
      <c r="BB47" s="8"/>
    </row>
    <row r="48" spans="1:54" x14ac:dyDescent="0.25">
      <c r="A48" s="149">
        <v>42278</v>
      </c>
      <c r="B48" s="2">
        <v>21401</v>
      </c>
      <c r="C48" s="2">
        <v>420220</v>
      </c>
      <c r="D48" s="2">
        <v>20532</v>
      </c>
      <c r="E48" s="2">
        <v>368757</v>
      </c>
      <c r="F48" s="10">
        <f t="shared" si="2"/>
        <v>788977</v>
      </c>
      <c r="G48" s="10">
        <f t="shared" si="3"/>
        <v>41933</v>
      </c>
      <c r="H48" s="2"/>
      <c r="I48" s="2"/>
      <c r="J48" s="2"/>
      <c r="K48" s="2"/>
      <c r="L48" s="2"/>
      <c r="M48" s="11">
        <f t="shared" si="8"/>
        <v>19658</v>
      </c>
      <c r="N48" s="11">
        <f t="shared" si="9"/>
        <v>367811</v>
      </c>
      <c r="O48" s="12">
        <f>16933+2461+46</f>
        <v>19440</v>
      </c>
      <c r="P48" s="12">
        <f>271845+68027+540</f>
        <v>340412</v>
      </c>
      <c r="Q48" s="10">
        <f t="shared" si="4"/>
        <v>708223</v>
      </c>
      <c r="R48" s="18">
        <f t="shared" si="5"/>
        <v>39098</v>
      </c>
      <c r="S48" s="8"/>
      <c r="T48" s="8"/>
      <c r="U48" s="8"/>
      <c r="V48" s="8"/>
      <c r="W48" s="14">
        <f>Q48/S50</f>
        <v>8.3954565482849325E-2</v>
      </c>
      <c r="X48" s="9"/>
      <c r="Y48" s="8"/>
      <c r="Z48" s="8"/>
      <c r="AA48" s="8"/>
      <c r="AB48" s="8"/>
      <c r="AC48" s="14">
        <f>R48/Y50</f>
        <v>8.2333765730554759E-2</v>
      </c>
      <c r="AD48" s="9">
        <f t="shared" si="6"/>
        <v>1.0112139917695473</v>
      </c>
      <c r="AE48" s="8"/>
      <c r="AF48" s="8"/>
      <c r="AG48" s="8"/>
      <c r="AH48" s="8"/>
      <c r="AI48" s="14">
        <f>E48/AE50</f>
        <v>1.5412074478089148</v>
      </c>
      <c r="AJ48" s="8"/>
      <c r="AK48" s="8"/>
      <c r="AL48" s="8"/>
      <c r="AM48" s="8"/>
      <c r="AN48" s="8"/>
      <c r="AO48" s="8"/>
      <c r="AP48" s="8"/>
      <c r="AQ48" s="8"/>
      <c r="AR48" s="14">
        <f>N48/AN50</f>
        <v>8.4360379147049872E-2</v>
      </c>
      <c r="AS48" s="8"/>
      <c r="AT48" s="8"/>
      <c r="AU48" s="8"/>
      <c r="AV48" s="8"/>
      <c r="AW48" s="33">
        <f t="shared" si="7"/>
        <v>18.710499542171128</v>
      </c>
      <c r="AX48" s="8"/>
      <c r="AY48" s="8"/>
      <c r="AZ48" s="8"/>
      <c r="BA48" s="8"/>
      <c r="BB48" s="8"/>
    </row>
    <row r="49" spans="1:54" x14ac:dyDescent="0.25">
      <c r="A49" s="149">
        <v>42309</v>
      </c>
      <c r="B49" s="2">
        <v>19602</v>
      </c>
      <c r="C49" s="2">
        <v>337044</v>
      </c>
      <c r="D49" s="2">
        <v>19335</v>
      </c>
      <c r="E49" s="2">
        <v>323177</v>
      </c>
      <c r="F49" s="10">
        <f t="shared" si="2"/>
        <v>660221</v>
      </c>
      <c r="G49" s="10">
        <f t="shared" si="3"/>
        <v>38937</v>
      </c>
      <c r="H49" s="2"/>
      <c r="I49" s="2"/>
      <c r="J49" s="2"/>
      <c r="K49" s="2"/>
      <c r="L49" s="2"/>
      <c r="M49" s="11">
        <f t="shared" si="8"/>
        <v>18711</v>
      </c>
      <c r="N49" s="11">
        <f t="shared" si="9"/>
        <v>336667</v>
      </c>
      <c r="O49" s="12">
        <f>16198+2178+41</f>
        <v>18417</v>
      </c>
      <c r="P49" s="12">
        <f>246295+55821+479</f>
        <v>302595</v>
      </c>
      <c r="Q49" s="10">
        <f t="shared" si="4"/>
        <v>639262</v>
      </c>
      <c r="R49" s="18">
        <f t="shared" si="5"/>
        <v>37128</v>
      </c>
      <c r="S49" s="8"/>
      <c r="T49" s="8"/>
      <c r="U49" s="8"/>
      <c r="V49" s="8"/>
      <c r="W49" s="14">
        <f>Q49/S50</f>
        <v>7.5779752196267591E-2</v>
      </c>
      <c r="X49" s="9"/>
      <c r="Y49" s="8"/>
      <c r="Z49" s="8"/>
      <c r="AA49" s="8"/>
      <c r="AB49" s="8"/>
      <c r="AC49" s="14">
        <f>R49/Y50</f>
        <v>7.8185279401607174E-2</v>
      </c>
      <c r="AD49" s="9">
        <f t="shared" si="6"/>
        <v>1.015963511972634</v>
      </c>
      <c r="AE49" s="8"/>
      <c r="AF49" s="8"/>
      <c r="AG49" s="8"/>
      <c r="AH49" s="8"/>
      <c r="AI49" s="14">
        <f>E49/AE50</f>
        <v>1.350707374668255</v>
      </c>
      <c r="AJ49" s="8"/>
      <c r="AK49" s="8"/>
      <c r="AL49" s="8"/>
      <c r="AM49" s="8"/>
      <c r="AN49" s="8"/>
      <c r="AO49" s="8"/>
      <c r="AP49" s="8"/>
      <c r="AQ49" s="8"/>
      <c r="AR49" s="14">
        <f>N49/AN50</f>
        <v>7.7217254966001125E-2</v>
      </c>
      <c r="AS49" s="8"/>
      <c r="AT49" s="8"/>
      <c r="AU49" s="8"/>
      <c r="AV49" s="8"/>
      <c r="AW49" s="33">
        <f t="shared" si="7"/>
        <v>17.992998770776548</v>
      </c>
      <c r="AX49" s="8"/>
      <c r="AY49" s="8"/>
      <c r="AZ49" s="8"/>
      <c r="BA49" s="8"/>
      <c r="BB49" s="8"/>
    </row>
    <row r="50" spans="1:54" x14ac:dyDescent="0.25">
      <c r="A50" s="149">
        <v>42339</v>
      </c>
      <c r="B50" s="2">
        <v>22091</v>
      </c>
      <c r="C50" s="2">
        <v>496966</v>
      </c>
      <c r="D50" s="2">
        <v>21487</v>
      </c>
      <c r="E50" s="2">
        <v>425480</v>
      </c>
      <c r="F50" s="10">
        <f t="shared" si="2"/>
        <v>922446</v>
      </c>
      <c r="G50" s="10">
        <f t="shared" si="3"/>
        <v>43578</v>
      </c>
      <c r="H50" s="11">
        <f>SUM(F39:F50)</f>
        <v>9307236</v>
      </c>
      <c r="I50" s="11">
        <f>AVERAGE(F39:F50)</f>
        <v>775603</v>
      </c>
      <c r="J50" s="11">
        <f>H50/365</f>
        <v>25499.276712328767</v>
      </c>
      <c r="K50" s="15">
        <f>(J50-J38)/J38</f>
        <v>-6.3606443375281624E-2</v>
      </c>
      <c r="L50" s="2"/>
      <c r="M50" s="11">
        <f t="shared" si="8"/>
        <v>20680</v>
      </c>
      <c r="N50" s="11">
        <f t="shared" si="9"/>
        <v>437250</v>
      </c>
      <c r="O50" s="12">
        <f>17094+2777+48</f>
        <v>19919</v>
      </c>
      <c r="P50" s="12">
        <f>292872+84492+526</f>
        <v>377890</v>
      </c>
      <c r="Q50" s="10">
        <f t="shared" si="4"/>
        <v>815140</v>
      </c>
      <c r="R50" s="18">
        <f>M50+O50</f>
        <v>40599</v>
      </c>
      <c r="S50" s="11">
        <f>SUM(Q39:Q50)</f>
        <v>8435789</v>
      </c>
      <c r="T50" s="11">
        <f>AVERAGE(Q39:Q50)</f>
        <v>702982.41666666663</v>
      </c>
      <c r="U50" s="11">
        <f>S50/365</f>
        <v>23111.750684931507</v>
      </c>
      <c r="V50" s="14"/>
      <c r="W50" s="14">
        <f>Q50/S50</f>
        <v>9.6628780070245945E-2</v>
      </c>
      <c r="X50" s="9"/>
      <c r="Y50" s="11">
        <f>SUM(R39:R50)</f>
        <v>474872</v>
      </c>
      <c r="Z50" s="11">
        <f>Y50/12</f>
        <v>39572.666666666664</v>
      </c>
      <c r="AA50" s="11">
        <f>Y50/365</f>
        <v>1301.0191780821917</v>
      </c>
      <c r="AB50" s="14"/>
      <c r="AC50" s="14">
        <f>R50/Y50</f>
        <v>8.5494617496925482E-2</v>
      </c>
      <c r="AD50" s="9">
        <f t="shared" si="6"/>
        <v>1.0382047291530698</v>
      </c>
      <c r="AE50" s="11">
        <f>SUM(M39:M50)</f>
        <v>239265</v>
      </c>
      <c r="AF50" s="11">
        <f>AE50/12</f>
        <v>19938.75</v>
      </c>
      <c r="AG50" s="11">
        <f>AE50/365</f>
        <v>655.52054794520552</v>
      </c>
      <c r="AH50" s="15">
        <f>AE50/Y50</f>
        <v>0.50385156421098742</v>
      </c>
      <c r="AI50" s="14">
        <f>E50/AE50</f>
        <v>1.7782793137316364</v>
      </c>
      <c r="AJ50" s="11">
        <f>SUM(O39:O50)</f>
        <v>235607</v>
      </c>
      <c r="AK50" s="11">
        <f>AJ50/12</f>
        <v>19633.916666666668</v>
      </c>
      <c r="AL50" s="11">
        <f>AJ50/365</f>
        <v>645.49863013698632</v>
      </c>
      <c r="AM50" s="15">
        <f>AJ50/Y50</f>
        <v>0.49614843578901263</v>
      </c>
      <c r="AN50" s="11">
        <f>SUM(N39:N50)</f>
        <v>4359997</v>
      </c>
      <c r="AO50" s="11">
        <f>AN50/12</f>
        <v>363333.08333333331</v>
      </c>
      <c r="AP50" s="11">
        <f>AN50/365</f>
        <v>11945.197260273973</v>
      </c>
      <c r="AQ50" s="15">
        <f>AN50/S50</f>
        <v>0.51684519373350846</v>
      </c>
      <c r="AR50" s="14">
        <f>N50/AN50</f>
        <v>0.1002867662523621</v>
      </c>
      <c r="AS50" s="11">
        <f>SUM(P39:P50)</f>
        <v>4075792</v>
      </c>
      <c r="AT50" s="11">
        <f>AS50/12</f>
        <v>339649.33333333331</v>
      </c>
      <c r="AU50" s="11">
        <f>AS50/365</f>
        <v>11166.553424657533</v>
      </c>
      <c r="AV50" s="15">
        <f>AS50/S50</f>
        <v>0.48315480626649149</v>
      </c>
      <c r="AW50" s="33">
        <f t="shared" si="7"/>
        <v>21.143617021276597</v>
      </c>
      <c r="AX50" s="11">
        <f>S50/AE50</f>
        <v>35.257095688880533</v>
      </c>
      <c r="AY50" s="11"/>
      <c r="AZ50" s="11">
        <f>AX50/365</f>
        <v>9.6594782709261737E-2</v>
      </c>
      <c r="BA50" s="15">
        <f>AX50/W50</f>
        <v>364.87158032265114</v>
      </c>
      <c r="BB50" s="15"/>
    </row>
    <row r="51" spans="1:54" x14ac:dyDescent="0.25">
      <c r="A51" s="149">
        <v>42370</v>
      </c>
      <c r="B51" s="2">
        <v>21377</v>
      </c>
      <c r="C51" s="2">
        <v>422267</v>
      </c>
      <c r="D51" s="2">
        <v>21555</v>
      </c>
      <c r="E51" s="2">
        <v>443520</v>
      </c>
      <c r="F51" s="10">
        <f t="shared" si="2"/>
        <v>865787</v>
      </c>
      <c r="G51" s="10">
        <f t="shared" si="3"/>
        <v>42932</v>
      </c>
      <c r="H51" s="2"/>
      <c r="I51" s="2"/>
      <c r="J51" s="2"/>
      <c r="K51" s="2"/>
      <c r="L51" s="2"/>
      <c r="M51" s="13">
        <v>19877</v>
      </c>
      <c r="N51" s="10">
        <v>380513</v>
      </c>
      <c r="O51" s="10">
        <v>19812</v>
      </c>
      <c r="P51" s="10">
        <v>385727</v>
      </c>
      <c r="Q51" s="10">
        <f>N51+P51</f>
        <v>766240</v>
      </c>
      <c r="R51" s="10">
        <f>M51+O51</f>
        <v>39689</v>
      </c>
      <c r="S51" s="8"/>
      <c r="T51" s="8"/>
      <c r="U51" s="8"/>
      <c r="V51" s="8"/>
      <c r="W51" s="14">
        <f>Q51/S62</f>
        <v>0.10073416941046243</v>
      </c>
      <c r="X51" s="9">
        <f>N51/P51</f>
        <v>0.9864826677935431</v>
      </c>
      <c r="Y51" s="8"/>
      <c r="Z51" s="8"/>
      <c r="AA51" s="8"/>
      <c r="AB51" s="8"/>
      <c r="AC51" s="14">
        <f>R51/Y62</f>
        <v>8.7541218637992829E-2</v>
      </c>
      <c r="AD51" s="9">
        <f>M51/O51</f>
        <v>1.003280839895013</v>
      </c>
      <c r="AE51" s="8"/>
      <c r="AF51" s="8"/>
      <c r="AG51" s="8"/>
      <c r="AH51" s="8"/>
      <c r="AI51" s="8"/>
      <c r="AJ51" s="8"/>
      <c r="AK51" s="8"/>
      <c r="AL51" s="8"/>
      <c r="AM51" s="8"/>
      <c r="AN51" s="8"/>
      <c r="AR51" s="14">
        <f>N51/AN62</f>
        <v>9.6254597233173284E-2</v>
      </c>
      <c r="AS51" s="8"/>
      <c r="AW51" s="33">
        <f t="shared" si="7"/>
        <v>19.143381798058059</v>
      </c>
      <c r="AX51" s="8"/>
    </row>
    <row r="52" spans="1:54" x14ac:dyDescent="0.25">
      <c r="A52" s="149">
        <v>42401</v>
      </c>
      <c r="B52" s="2">
        <v>19670</v>
      </c>
      <c r="C52" s="2">
        <v>359578</v>
      </c>
      <c r="D52" s="2">
        <v>19379</v>
      </c>
      <c r="E52" s="2">
        <v>346610</v>
      </c>
      <c r="F52" s="10">
        <f t="shared" si="2"/>
        <v>706188</v>
      </c>
      <c r="G52" s="10">
        <f t="shared" si="3"/>
        <v>39049</v>
      </c>
      <c r="H52" s="2"/>
      <c r="I52" s="2"/>
      <c r="J52" s="2"/>
      <c r="K52" s="2"/>
      <c r="L52" s="2"/>
      <c r="M52" s="13">
        <v>18555</v>
      </c>
      <c r="N52" s="10">
        <v>328735</v>
      </c>
      <c r="O52" s="10">
        <v>18180</v>
      </c>
      <c r="P52" s="10">
        <v>311362</v>
      </c>
      <c r="Q52" s="10">
        <f t="shared" ref="Q52:Q105" si="10">N52+P52</f>
        <v>640097</v>
      </c>
      <c r="R52" s="10">
        <f t="shared" ref="R52:R105" si="11">M52+O52</f>
        <v>36735</v>
      </c>
      <c r="S52" s="8"/>
      <c r="T52" s="8"/>
      <c r="U52" s="8"/>
      <c r="V52" s="8"/>
      <c r="W52" s="14">
        <f>Q52/S62</f>
        <v>8.4150709486751893E-2</v>
      </c>
      <c r="X52" s="9">
        <f t="shared" ref="X52:X111" si="12">N52/P52</f>
        <v>1.0557967895889673</v>
      </c>
      <c r="Y52" s="8"/>
      <c r="Z52" s="8"/>
      <c r="AA52" s="8"/>
      <c r="AB52" s="8"/>
      <c r="AC52" s="14">
        <f>R52/Y62</f>
        <v>8.1025641025641026E-2</v>
      </c>
      <c r="AD52" s="9">
        <f t="shared" ref="AD52:AD110" si="13">M52/O52</f>
        <v>1.0206270627062706</v>
      </c>
      <c r="AE52" s="8"/>
      <c r="AF52" s="8"/>
      <c r="AG52" s="8"/>
      <c r="AH52" s="8"/>
      <c r="AI52" s="8"/>
      <c r="AJ52" s="8"/>
      <c r="AK52" s="8"/>
      <c r="AL52" s="8"/>
      <c r="AM52" s="8"/>
      <c r="AN52" s="8"/>
      <c r="AR52" s="14">
        <f>N52/AN62</f>
        <v>8.3156830440608384E-2</v>
      </c>
      <c r="AS52" s="8"/>
      <c r="AW52" s="33">
        <f t="shared" si="7"/>
        <v>17.716787927782271</v>
      </c>
      <c r="AX52" s="8"/>
    </row>
    <row r="53" spans="1:54" x14ac:dyDescent="0.25">
      <c r="A53" s="149">
        <v>42430</v>
      </c>
      <c r="B53" s="2">
        <v>20547</v>
      </c>
      <c r="C53" s="2">
        <v>354740</v>
      </c>
      <c r="D53" s="2">
        <v>20129</v>
      </c>
      <c r="E53" s="2">
        <v>332740</v>
      </c>
      <c r="F53" s="10">
        <f t="shared" si="2"/>
        <v>687480</v>
      </c>
      <c r="G53" s="10">
        <f t="shared" si="3"/>
        <v>40676</v>
      </c>
      <c r="H53" s="2"/>
      <c r="I53" s="2"/>
      <c r="J53" s="2"/>
      <c r="K53" s="2"/>
      <c r="L53" s="2"/>
      <c r="M53" s="13">
        <v>19553</v>
      </c>
      <c r="N53" s="10">
        <v>329375</v>
      </c>
      <c r="O53" s="10">
        <v>19125</v>
      </c>
      <c r="P53" s="10">
        <v>306893</v>
      </c>
      <c r="Q53" s="10">
        <f t="shared" si="10"/>
        <v>636268</v>
      </c>
      <c r="R53" s="10">
        <f t="shared" si="11"/>
        <v>38678</v>
      </c>
      <c r="S53" s="8"/>
      <c r="T53" s="8"/>
      <c r="U53" s="8"/>
      <c r="V53" s="8"/>
      <c r="W53" s="14">
        <f>Q53/S62</f>
        <v>8.3647327863927895E-2</v>
      </c>
      <c r="X53" s="9">
        <f t="shared" si="12"/>
        <v>1.0732568028596285</v>
      </c>
      <c r="Y53" s="8"/>
      <c r="Z53" s="8"/>
      <c r="AA53" s="8"/>
      <c r="AB53" s="8"/>
      <c r="AC53" s="14">
        <f>R53/Y62</f>
        <v>8.5311276537082995E-2</v>
      </c>
      <c r="AD53" s="9">
        <f t="shared" si="13"/>
        <v>1.0223790849673202</v>
      </c>
      <c r="AE53" s="8"/>
      <c r="AF53" s="8"/>
      <c r="AG53" s="8"/>
      <c r="AH53" s="8"/>
      <c r="AI53" s="8"/>
      <c r="AJ53" s="8"/>
      <c r="AK53" s="8"/>
      <c r="AL53" s="8"/>
      <c r="AM53" s="8"/>
      <c r="AN53" s="8"/>
      <c r="AR53" s="14">
        <f>N53/AN62</f>
        <v>8.3318724888969492E-2</v>
      </c>
      <c r="AS53" s="8"/>
      <c r="AW53" s="33">
        <f t="shared" si="7"/>
        <v>16.845241139467088</v>
      </c>
      <c r="AX53" s="8"/>
    </row>
    <row r="54" spans="1:54" x14ac:dyDescent="0.25">
      <c r="A54" s="149">
        <v>42461</v>
      </c>
      <c r="B54" s="2">
        <v>19700</v>
      </c>
      <c r="C54" s="2">
        <v>331844</v>
      </c>
      <c r="D54" s="2">
        <v>18969</v>
      </c>
      <c r="E54" s="2">
        <v>304206</v>
      </c>
      <c r="F54" s="10">
        <f t="shared" si="2"/>
        <v>636050</v>
      </c>
      <c r="G54" s="10">
        <f t="shared" si="3"/>
        <v>38669</v>
      </c>
      <c r="H54" s="2"/>
      <c r="I54" s="2"/>
      <c r="J54" s="2"/>
      <c r="K54" s="2"/>
      <c r="L54" s="2"/>
      <c r="M54" s="13">
        <v>18778</v>
      </c>
      <c r="N54" s="10">
        <v>309593</v>
      </c>
      <c r="O54" s="10">
        <v>18038</v>
      </c>
      <c r="P54" s="10">
        <v>281686</v>
      </c>
      <c r="Q54" s="10">
        <f t="shared" si="10"/>
        <v>591279</v>
      </c>
      <c r="R54" s="10">
        <f t="shared" si="11"/>
        <v>36816</v>
      </c>
      <c r="S54" s="8"/>
      <c r="T54" s="8"/>
      <c r="U54" s="8"/>
      <c r="V54" s="8"/>
      <c r="W54" s="14">
        <f>Q54/S62</f>
        <v>7.7732823860472977E-2</v>
      </c>
      <c r="X54" s="9">
        <f t="shared" si="12"/>
        <v>1.0990713063482034</v>
      </c>
      <c r="Y54" s="8"/>
      <c r="Z54" s="8"/>
      <c r="AA54" s="8"/>
      <c r="AB54" s="8"/>
      <c r="AC54" s="14">
        <f>R54/Y62</f>
        <v>8.1204301075268812E-2</v>
      </c>
      <c r="AD54" s="9">
        <f t="shared" si="13"/>
        <v>1.0410245038252577</v>
      </c>
      <c r="AE54" s="8"/>
      <c r="AF54" s="8"/>
      <c r="AG54" s="8"/>
      <c r="AH54" s="8"/>
      <c r="AI54" s="8"/>
      <c r="AJ54" s="8"/>
      <c r="AK54" s="8"/>
      <c r="AL54" s="8"/>
      <c r="AM54" s="8"/>
      <c r="AN54" s="8"/>
      <c r="AR54" s="14">
        <f>N54/AN62</f>
        <v>7.8314668674157831E-2</v>
      </c>
      <c r="AS54" s="8"/>
      <c r="AW54" s="33">
        <f t="shared" si="7"/>
        <v>16.487006070934072</v>
      </c>
      <c r="AX54" s="8"/>
    </row>
    <row r="55" spans="1:54" x14ac:dyDescent="0.25">
      <c r="A55" s="149">
        <v>42491</v>
      </c>
      <c r="B55" s="2">
        <v>20240</v>
      </c>
      <c r="C55" s="2">
        <v>345387</v>
      </c>
      <c r="D55" s="2">
        <v>19920</v>
      </c>
      <c r="E55" s="2">
        <v>316366</v>
      </c>
      <c r="F55" s="10">
        <f t="shared" si="2"/>
        <v>661753</v>
      </c>
      <c r="G55" s="10">
        <f t="shared" si="3"/>
        <v>40160</v>
      </c>
      <c r="H55" s="2"/>
      <c r="I55" s="2"/>
      <c r="J55" s="2"/>
      <c r="K55" s="2"/>
      <c r="L55" s="2"/>
      <c r="M55" s="13">
        <v>19290</v>
      </c>
      <c r="N55" s="10">
        <v>323151</v>
      </c>
      <c r="O55" s="10">
        <v>18986</v>
      </c>
      <c r="P55" s="10">
        <v>294372</v>
      </c>
      <c r="Q55" s="10">
        <f t="shared" si="10"/>
        <v>617523</v>
      </c>
      <c r="R55" s="10">
        <f t="shared" si="11"/>
        <v>38276</v>
      </c>
      <c r="S55" s="8"/>
      <c r="T55" s="8"/>
      <c r="U55" s="8"/>
      <c r="V55" s="8"/>
      <c r="W55" s="14">
        <f>Q55/S62</f>
        <v>8.1183005973137642E-2</v>
      </c>
      <c r="X55" s="9">
        <f t="shared" si="12"/>
        <v>1.0977640536464066</v>
      </c>
      <c r="Y55" s="8"/>
      <c r="Z55" s="8"/>
      <c r="AA55" s="8"/>
      <c r="AB55" s="8"/>
      <c r="AC55" s="14">
        <f>R55/Y62</f>
        <v>8.4424593327819139E-2</v>
      </c>
      <c r="AD55" s="9">
        <f t="shared" si="13"/>
        <v>1.0160117981670704</v>
      </c>
      <c r="AE55" s="8"/>
      <c r="AF55" s="8"/>
      <c r="AG55" s="8"/>
      <c r="AH55" s="8"/>
      <c r="AI55" s="8"/>
      <c r="AJ55" s="8"/>
      <c r="AK55" s="8"/>
      <c r="AL55" s="8"/>
      <c r="AM55" s="8"/>
      <c r="AN55" s="8"/>
      <c r="AR55" s="14">
        <f>N55/AN62</f>
        <v>8.1744301378657708E-2</v>
      </c>
      <c r="AS55" s="8"/>
      <c r="AW55" s="33">
        <f t="shared" si="7"/>
        <v>16.75225505443235</v>
      </c>
      <c r="AX55" s="8"/>
    </row>
    <row r="56" spans="1:54" x14ac:dyDescent="0.25">
      <c r="A56" s="149">
        <v>42522</v>
      </c>
      <c r="B56" s="2">
        <v>19250</v>
      </c>
      <c r="C56" s="2">
        <v>292534</v>
      </c>
      <c r="D56" s="2">
        <v>18960</v>
      </c>
      <c r="E56" s="2">
        <v>270259</v>
      </c>
      <c r="F56" s="10">
        <f t="shared" si="2"/>
        <v>562793</v>
      </c>
      <c r="G56" s="10">
        <f t="shared" si="3"/>
        <v>38210</v>
      </c>
      <c r="H56" s="2"/>
      <c r="I56" s="2"/>
      <c r="J56" s="2"/>
      <c r="K56" s="2"/>
      <c r="L56" s="2"/>
      <c r="M56" s="13">
        <v>18385</v>
      </c>
      <c r="N56" s="10">
        <v>274175</v>
      </c>
      <c r="O56" s="10">
        <v>18123</v>
      </c>
      <c r="P56" s="10">
        <v>252952</v>
      </c>
      <c r="Q56" s="10">
        <f t="shared" si="10"/>
        <v>527127</v>
      </c>
      <c r="R56" s="10">
        <f t="shared" si="11"/>
        <v>36508</v>
      </c>
      <c r="S56" s="8"/>
      <c r="T56" s="8"/>
      <c r="U56" s="8"/>
      <c r="V56" s="8"/>
      <c r="W56" s="14">
        <f>Q56/S62</f>
        <v>6.9299045362848227E-2</v>
      </c>
      <c r="X56" s="9">
        <f t="shared" si="12"/>
        <v>1.0839012935260444</v>
      </c>
      <c r="Y56" s="8"/>
      <c r="Z56" s="8"/>
      <c r="AA56" s="8"/>
      <c r="AB56" s="8"/>
      <c r="AC56" s="14">
        <f>R56/Y62</f>
        <v>8.0524951750758203E-2</v>
      </c>
      <c r="AD56" s="9">
        <f t="shared" si="13"/>
        <v>1.0144567676433263</v>
      </c>
      <c r="AE56" s="8"/>
      <c r="AF56" s="8"/>
      <c r="AG56" s="8"/>
      <c r="AH56" s="8"/>
      <c r="AI56" s="8"/>
      <c r="AJ56" s="8"/>
      <c r="AK56" s="8"/>
      <c r="AL56" s="8"/>
      <c r="AM56" s="8"/>
      <c r="AN56" s="8"/>
      <c r="AR56" s="14">
        <f>N56/AN62</f>
        <v>6.9355328717823794E-2</v>
      </c>
      <c r="AS56" s="8"/>
      <c r="AW56" s="33">
        <f t="shared" si="7"/>
        <v>14.912972531955399</v>
      </c>
      <c r="AX56" s="8"/>
    </row>
    <row r="57" spans="1:54" x14ac:dyDescent="0.25">
      <c r="A57" s="149">
        <v>42552</v>
      </c>
      <c r="B57" s="2">
        <v>20644</v>
      </c>
      <c r="C57" s="2">
        <v>412006</v>
      </c>
      <c r="D57" s="2">
        <v>20284</v>
      </c>
      <c r="E57" s="2">
        <v>373131</v>
      </c>
      <c r="F57" s="10">
        <f t="shared" si="2"/>
        <v>785137</v>
      </c>
      <c r="G57" s="10">
        <f t="shared" si="3"/>
        <v>40928</v>
      </c>
      <c r="H57" s="2"/>
      <c r="I57" s="2"/>
      <c r="J57" s="2"/>
      <c r="K57" s="2"/>
      <c r="L57" s="2"/>
      <c r="M57" s="13">
        <v>19480</v>
      </c>
      <c r="N57" s="10">
        <v>378066</v>
      </c>
      <c r="O57" s="10">
        <v>19160</v>
      </c>
      <c r="P57" s="10">
        <v>341622</v>
      </c>
      <c r="Q57" s="10">
        <f t="shared" si="10"/>
        <v>719688</v>
      </c>
      <c r="R57" s="10">
        <f t="shared" si="11"/>
        <v>38640</v>
      </c>
      <c r="S57" s="8"/>
      <c r="T57" s="8"/>
      <c r="U57" s="8"/>
      <c r="V57" s="8"/>
      <c r="W57" s="14">
        <f>Q57/S62</f>
        <v>9.4614184739346519E-2</v>
      </c>
      <c r="X57" s="9">
        <f t="shared" si="12"/>
        <v>1.1066793122222807</v>
      </c>
      <c r="Y57" s="8"/>
      <c r="Z57" s="8"/>
      <c r="AA57" s="8"/>
      <c r="AB57" s="8"/>
      <c r="AC57" s="14">
        <f>R57/Y62</f>
        <v>8.5227460711331679E-2</v>
      </c>
      <c r="AD57" s="9">
        <f t="shared" si="13"/>
        <v>1.0167014613778707</v>
      </c>
      <c r="AE57" s="8"/>
      <c r="AF57" s="8"/>
      <c r="AG57" s="8"/>
      <c r="AH57" s="8"/>
      <c r="AI57" s="8"/>
      <c r="AJ57" s="8"/>
      <c r="AK57" s="8"/>
      <c r="AL57" s="8"/>
      <c r="AM57" s="8"/>
      <c r="AN57" s="8"/>
      <c r="AR57" s="14">
        <f>N57/AN62</f>
        <v>9.5635603928267601E-2</v>
      </c>
      <c r="AS57" s="8"/>
      <c r="AW57" s="33">
        <f t="shared" si="7"/>
        <v>19.407905544147845</v>
      </c>
      <c r="AX57" s="8"/>
    </row>
    <row r="58" spans="1:54" x14ac:dyDescent="0.25">
      <c r="A58" s="149">
        <v>42583</v>
      </c>
      <c r="B58" s="2">
        <v>20107</v>
      </c>
      <c r="C58" s="2">
        <v>330282</v>
      </c>
      <c r="D58" s="2">
        <v>19876</v>
      </c>
      <c r="E58" s="2">
        <v>320271</v>
      </c>
      <c r="F58" s="10">
        <f t="shared" si="2"/>
        <v>650553</v>
      </c>
      <c r="G58" s="10">
        <f t="shared" si="3"/>
        <v>39983</v>
      </c>
      <c r="H58" s="2"/>
      <c r="I58" s="2"/>
      <c r="J58" s="2"/>
      <c r="K58" s="2"/>
      <c r="L58" s="2"/>
      <c r="M58" s="13">
        <v>19174</v>
      </c>
      <c r="N58" s="10">
        <v>308543</v>
      </c>
      <c r="O58" s="10">
        <v>18928</v>
      </c>
      <c r="P58" s="10">
        <v>296520</v>
      </c>
      <c r="Q58" s="10">
        <f t="shared" si="10"/>
        <v>605063</v>
      </c>
      <c r="R58" s="10">
        <f t="shared" si="11"/>
        <v>38102</v>
      </c>
      <c r="S58" s="8"/>
      <c r="T58" s="8"/>
      <c r="U58" s="8"/>
      <c r="V58" s="8"/>
      <c r="W58" s="14">
        <f>Q58/S62</f>
        <v>7.9544945116416035E-2</v>
      </c>
      <c r="X58" s="9">
        <f t="shared" si="12"/>
        <v>1.0405470120059355</v>
      </c>
      <c r="Y58" s="8"/>
      <c r="Z58" s="8"/>
      <c r="AA58" s="8"/>
      <c r="AB58" s="8"/>
      <c r="AC58" s="14">
        <f>R58/Y62</f>
        <v>8.4040805073063135E-2</v>
      </c>
      <c r="AD58" s="9">
        <f t="shared" si="13"/>
        <v>1.0129966187658495</v>
      </c>
      <c r="AE58" s="8"/>
      <c r="AF58" s="8"/>
      <c r="AG58" s="8"/>
      <c r="AH58" s="8"/>
      <c r="AI58" s="8"/>
      <c r="AJ58" s="8"/>
      <c r="AK58" s="8"/>
      <c r="AL58" s="8"/>
      <c r="AM58" s="8"/>
      <c r="AN58" s="8"/>
      <c r="AR58" s="14">
        <f>N58/AN62</f>
        <v>7.8049060594815381E-2</v>
      </c>
      <c r="AS58" s="8"/>
      <c r="AW58" s="33">
        <f t="shared" si="7"/>
        <v>16.091738812975905</v>
      </c>
      <c r="AX58" s="8"/>
    </row>
    <row r="59" spans="1:54" x14ac:dyDescent="0.25">
      <c r="A59" s="149">
        <v>42614</v>
      </c>
      <c r="B59" s="2">
        <v>19358</v>
      </c>
      <c r="C59" s="2">
        <v>323052</v>
      </c>
      <c r="D59" s="2">
        <v>19001</v>
      </c>
      <c r="E59" s="2">
        <v>293743</v>
      </c>
      <c r="F59" s="10">
        <f t="shared" si="2"/>
        <v>616795</v>
      </c>
      <c r="G59" s="10">
        <f t="shared" si="3"/>
        <v>38359</v>
      </c>
      <c r="H59" s="2"/>
      <c r="I59" s="2"/>
      <c r="J59" s="2"/>
      <c r="K59" s="2"/>
      <c r="L59" s="2"/>
      <c r="M59" s="13">
        <v>18431</v>
      </c>
      <c r="N59" s="10">
        <v>300727</v>
      </c>
      <c r="O59" s="10">
        <v>18084</v>
      </c>
      <c r="P59" s="10">
        <v>271949</v>
      </c>
      <c r="Q59" s="10">
        <f t="shared" si="10"/>
        <v>572676</v>
      </c>
      <c r="R59" s="10">
        <f t="shared" si="11"/>
        <v>36515</v>
      </c>
      <c r="S59" s="8"/>
      <c r="T59" s="8"/>
      <c r="U59" s="8"/>
      <c r="V59" s="8"/>
      <c r="W59" s="14">
        <f>Q59/S62</f>
        <v>7.5287170078964794E-2</v>
      </c>
      <c r="X59" s="9">
        <f t="shared" si="12"/>
        <v>1.1058213120842511</v>
      </c>
      <c r="Y59" s="8"/>
      <c r="Z59" s="8"/>
      <c r="AA59" s="8"/>
      <c r="AB59" s="8"/>
      <c r="AC59" s="14">
        <f>R59/Y62</f>
        <v>8.0540391508133441E-2</v>
      </c>
      <c r="AD59" s="9">
        <f t="shared" si="13"/>
        <v>1.0191882326918824</v>
      </c>
      <c r="AE59" s="8"/>
      <c r="AF59" s="8"/>
      <c r="AG59" s="8"/>
      <c r="AH59" s="8"/>
      <c r="AI59" s="8"/>
      <c r="AJ59" s="8"/>
      <c r="AK59" s="8"/>
      <c r="AL59" s="8"/>
      <c r="AM59" s="8"/>
      <c r="AN59" s="8"/>
      <c r="AR59" s="14">
        <f>N59/AN62</f>
        <v>7.6071924644205327E-2</v>
      </c>
      <c r="AS59" s="8"/>
      <c r="AW59" s="33">
        <f t="shared" si="7"/>
        <v>16.316369160653249</v>
      </c>
      <c r="AX59" s="8"/>
    </row>
    <row r="60" spans="1:54" x14ac:dyDescent="0.25">
      <c r="A60" s="149">
        <v>42644</v>
      </c>
      <c r="B60" s="2">
        <v>20103</v>
      </c>
      <c r="C60" s="2">
        <v>348465</v>
      </c>
      <c r="D60" s="2">
        <v>19779</v>
      </c>
      <c r="E60" s="2">
        <v>326822</v>
      </c>
      <c r="F60" s="10">
        <f t="shared" si="2"/>
        <v>675287</v>
      </c>
      <c r="G60" s="10">
        <f t="shared" si="3"/>
        <v>39882</v>
      </c>
      <c r="H60" s="2"/>
      <c r="I60" s="2"/>
      <c r="J60" s="2"/>
      <c r="K60" s="2"/>
      <c r="L60" s="2"/>
      <c r="M60" s="13">
        <v>19079</v>
      </c>
      <c r="N60" s="10">
        <v>322650</v>
      </c>
      <c r="O60" s="10">
        <v>18749</v>
      </c>
      <c r="P60" s="10">
        <v>300186</v>
      </c>
      <c r="Q60" s="10">
        <f t="shared" si="10"/>
        <v>622836</v>
      </c>
      <c r="R60" s="10">
        <f t="shared" si="11"/>
        <v>37828</v>
      </c>
      <c r="S60" s="8"/>
      <c r="T60" s="8"/>
      <c r="U60" s="8"/>
      <c r="V60" s="8"/>
      <c r="W60" s="14">
        <f>Q60/S62</f>
        <v>8.1881482484515003E-2</v>
      </c>
      <c r="X60" s="9">
        <f t="shared" si="12"/>
        <v>1.074833603166037</v>
      </c>
      <c r="Y60" s="8"/>
      <c r="Z60" s="8"/>
      <c r="AA60" s="8"/>
      <c r="AB60" s="8"/>
      <c r="AC60" s="14">
        <f>R60/Y62</f>
        <v>8.3436448855803688E-2</v>
      </c>
      <c r="AD60" s="9">
        <f t="shared" si="13"/>
        <v>1.0176009387167315</v>
      </c>
      <c r="AE60" s="8"/>
      <c r="AF60" s="8"/>
      <c r="AG60" s="8"/>
      <c r="AH60" s="8"/>
      <c r="AI60" s="8"/>
      <c r="AJ60" s="8"/>
      <c r="AK60" s="8"/>
      <c r="AL60" s="8"/>
      <c r="AM60" s="8"/>
      <c r="AN60" s="8"/>
      <c r="AR60" s="14">
        <f>N60/AN62</f>
        <v>8.1617568380800032E-2</v>
      </c>
      <c r="AS60" s="8"/>
      <c r="AW60" s="33">
        <f t="shared" si="7"/>
        <v>16.911263693065674</v>
      </c>
      <c r="AX60" s="8"/>
    </row>
    <row r="61" spans="1:54" x14ac:dyDescent="0.25">
      <c r="A61" s="149">
        <v>42675</v>
      </c>
      <c r="B61" s="2">
        <v>19347</v>
      </c>
      <c r="C61" s="2">
        <v>314533</v>
      </c>
      <c r="D61" s="2">
        <v>18817</v>
      </c>
      <c r="E61" s="2">
        <v>291169</v>
      </c>
      <c r="F61" s="10">
        <f t="shared" si="2"/>
        <v>605702</v>
      </c>
      <c r="G61" s="10">
        <f t="shared" si="3"/>
        <v>38164</v>
      </c>
      <c r="H61" s="2"/>
      <c r="I61" s="2"/>
      <c r="J61" s="2"/>
      <c r="K61" s="2"/>
      <c r="L61" s="2"/>
      <c r="M61" s="13">
        <v>18418</v>
      </c>
      <c r="N61" s="10">
        <v>293906</v>
      </c>
      <c r="O61" s="10">
        <v>17898</v>
      </c>
      <c r="P61" s="10">
        <v>270303</v>
      </c>
      <c r="Q61" s="10">
        <f t="shared" si="10"/>
        <v>564209</v>
      </c>
      <c r="R61" s="10">
        <f t="shared" si="11"/>
        <v>36316</v>
      </c>
      <c r="S61" s="8"/>
      <c r="T61" s="8"/>
      <c r="U61" s="8"/>
      <c r="V61" s="8"/>
      <c r="W61" s="14">
        <f>Q61/S62</f>
        <v>7.4174051196632382E-2</v>
      </c>
      <c r="X61" s="9">
        <f t="shared" si="12"/>
        <v>1.0873205254843639</v>
      </c>
      <c r="Y61" s="8"/>
      <c r="Z61" s="8"/>
      <c r="AA61" s="8"/>
      <c r="AB61" s="8"/>
      <c r="AC61" s="14">
        <f>R61/Y62</f>
        <v>8.0101461262751583E-2</v>
      </c>
      <c r="AD61" s="9">
        <f t="shared" si="13"/>
        <v>1.0290535255335791</v>
      </c>
      <c r="AE61" s="8"/>
      <c r="AF61" s="8"/>
      <c r="AG61" s="8"/>
      <c r="AH61" s="8"/>
      <c r="AI61" s="8"/>
      <c r="AJ61" s="8"/>
      <c r="AK61" s="8"/>
      <c r="AL61" s="8"/>
      <c r="AM61" s="8"/>
      <c r="AN61" s="8"/>
      <c r="AR61" s="14">
        <f>N61/AN62</f>
        <v>7.4346483968781685E-2</v>
      </c>
      <c r="AS61" s="8"/>
      <c r="AW61" s="33">
        <f t="shared" si="7"/>
        <v>15.957541535454446</v>
      </c>
      <c r="AX61" s="8"/>
    </row>
    <row r="62" spans="1:54" x14ac:dyDescent="0.25">
      <c r="A62" s="149">
        <v>42705</v>
      </c>
      <c r="B62" s="2">
        <v>21543</v>
      </c>
      <c r="C62" s="2">
        <v>446365</v>
      </c>
      <c r="D62" s="2">
        <v>20365</v>
      </c>
      <c r="E62" s="2">
        <v>367256</v>
      </c>
      <c r="F62" s="10">
        <f t="shared" si="2"/>
        <v>813621</v>
      </c>
      <c r="G62" s="10">
        <f t="shared" si="3"/>
        <v>41908</v>
      </c>
      <c r="H62" s="11">
        <f>SUM(F51:F62)</f>
        <v>8267146</v>
      </c>
      <c r="I62" s="11">
        <f>AVERAGE(F51:F62)</f>
        <v>688928.83333333337</v>
      </c>
      <c r="J62" s="11">
        <f>H62/365</f>
        <v>22649.715068493151</v>
      </c>
      <c r="K62" s="15">
        <f>(J62-J50)/J50</f>
        <v>-0.11175068516582148</v>
      </c>
      <c r="L62" s="2"/>
      <c r="M62" s="13">
        <v>20085</v>
      </c>
      <c r="N62" s="10">
        <v>403759</v>
      </c>
      <c r="O62" s="10">
        <v>19187</v>
      </c>
      <c r="P62" s="10">
        <v>339790</v>
      </c>
      <c r="Q62" s="10">
        <f t="shared" si="10"/>
        <v>743549</v>
      </c>
      <c r="R62" s="10">
        <f t="shared" si="11"/>
        <v>39272</v>
      </c>
      <c r="S62" s="11">
        <f>SUM(Q51:Q62)</f>
        <v>7606555</v>
      </c>
      <c r="T62" s="11">
        <f>AVERAGE(Q51:Q62)</f>
        <v>633879.58333333337</v>
      </c>
      <c r="U62" s="11">
        <f>S62/365</f>
        <v>20839.876712328769</v>
      </c>
      <c r="V62" s="15">
        <f>(U62-U50)/U50</f>
        <v>-9.8299518871323044E-2</v>
      </c>
      <c r="W62" s="14">
        <f>Q62/S62</f>
        <v>9.7751084426524235E-2</v>
      </c>
      <c r="X62" s="9">
        <f t="shared" si="12"/>
        <v>1.1882603961270197</v>
      </c>
      <c r="Y62" s="11">
        <f>SUM(R51:R62)</f>
        <v>453375</v>
      </c>
      <c r="Z62" s="11">
        <f>Y62/12</f>
        <v>37781.25</v>
      </c>
      <c r="AA62" s="11">
        <f>Y62/365</f>
        <v>1242.1232876712329</v>
      </c>
      <c r="AB62" s="15">
        <f>(AA62-AA50)/AA50</f>
        <v>-4.5269040920500624E-2</v>
      </c>
      <c r="AC62" s="14">
        <f>R62/Y62</f>
        <v>8.6621450234353456E-2</v>
      </c>
      <c r="AD62" s="9">
        <f t="shared" si="13"/>
        <v>1.046802522541304</v>
      </c>
      <c r="AE62" s="11">
        <f>SUM(M51:M62)</f>
        <v>229105</v>
      </c>
      <c r="AF62" s="11">
        <f>AE62/12</f>
        <v>19092.083333333332</v>
      </c>
      <c r="AG62" s="11">
        <f>AE62/365</f>
        <v>627.68493150684935</v>
      </c>
      <c r="AH62" s="15">
        <f>AE62/Y62</f>
        <v>0.50533223049352083</v>
      </c>
      <c r="AI62" s="8"/>
      <c r="AJ62" s="11">
        <f>SUM(O51:O62)</f>
        <v>224270</v>
      </c>
      <c r="AK62" s="11">
        <f>AJ62/12</f>
        <v>18689.166666666668</v>
      </c>
      <c r="AL62" s="11">
        <f>AJ62/365</f>
        <v>614.43835616438355</v>
      </c>
      <c r="AM62" s="15">
        <f>AJ62/Y62</f>
        <v>0.49466776950647917</v>
      </c>
      <c r="AN62" s="11">
        <f>SUM(N51:N62)</f>
        <v>3953193</v>
      </c>
      <c r="AO62" s="11">
        <f>AN62/12</f>
        <v>329432.75</v>
      </c>
      <c r="AP62" s="11">
        <f>AN62/365</f>
        <v>10830.665753424657</v>
      </c>
      <c r="AQ62" s="15">
        <f>AN62/S62</f>
        <v>0.51970872490897657</v>
      </c>
      <c r="AR62" s="14">
        <f>N62/AN62</f>
        <v>0.10213490714973947</v>
      </c>
      <c r="AS62" s="11">
        <f>SUM(P51:P62)</f>
        <v>3653362</v>
      </c>
      <c r="AT62" s="11">
        <f>AS62/12</f>
        <v>304446.83333333331</v>
      </c>
      <c r="AU62" s="11">
        <f>AS62/365</f>
        <v>10009.21095890411</v>
      </c>
      <c r="AV62" s="15">
        <f>AS62/S62</f>
        <v>0.48029127509102348</v>
      </c>
      <c r="AW62" s="33">
        <f t="shared" si="7"/>
        <v>20.1025143141648</v>
      </c>
      <c r="AX62" s="11">
        <f>S62/AE62</f>
        <v>33.201174134130639</v>
      </c>
      <c r="AY62" s="11">
        <f>AX62/12</f>
        <v>2.7667645111775534</v>
      </c>
      <c r="AZ62" s="11">
        <f>AX62/365</f>
        <v>9.0962120915426409E-2</v>
      </c>
      <c r="BA62" s="15">
        <f>AX62/W62</f>
        <v>339.65018729880893</v>
      </c>
      <c r="BB62" s="15"/>
    </row>
    <row r="63" spans="1:54" x14ac:dyDescent="0.25">
      <c r="A63" s="149">
        <v>42736</v>
      </c>
      <c r="B63" s="2">
        <v>20986</v>
      </c>
      <c r="C63" s="2">
        <v>400211</v>
      </c>
      <c r="D63" s="2">
        <v>21470</v>
      </c>
      <c r="E63" s="2">
        <v>417237</v>
      </c>
      <c r="F63" s="10">
        <f t="shared" si="2"/>
        <v>817448</v>
      </c>
      <c r="G63" s="10">
        <f t="shared" si="3"/>
        <v>42456</v>
      </c>
      <c r="H63" s="2"/>
      <c r="I63" s="2"/>
      <c r="J63" s="2"/>
      <c r="K63" s="2"/>
      <c r="L63" s="2"/>
      <c r="M63" s="13">
        <v>19401</v>
      </c>
      <c r="N63" s="10">
        <v>356623</v>
      </c>
      <c r="O63" s="10">
        <v>19687</v>
      </c>
      <c r="P63" s="10">
        <v>359886</v>
      </c>
      <c r="Q63" s="10">
        <f t="shared" si="10"/>
        <v>716509</v>
      </c>
      <c r="R63" s="10">
        <f t="shared" si="11"/>
        <v>39088</v>
      </c>
      <c r="S63" s="8"/>
      <c r="T63" s="8"/>
      <c r="U63" s="8"/>
      <c r="V63" s="8"/>
      <c r="W63" s="14">
        <f>Q63/S74</f>
        <v>9.2146514847812902E-2</v>
      </c>
      <c r="X63" s="9">
        <f t="shared" si="12"/>
        <v>0.99093323997043503</v>
      </c>
      <c r="Y63" s="8"/>
      <c r="Z63" s="8"/>
      <c r="AA63" s="8"/>
      <c r="AB63" s="8"/>
      <c r="AC63" s="14">
        <f>R63/Y74</f>
        <v>8.4723426391538056E-2</v>
      </c>
      <c r="AD63" s="9">
        <f>M63/O63</f>
        <v>0.98547264692436631</v>
      </c>
      <c r="AE63" s="8"/>
      <c r="AF63" s="8"/>
      <c r="AG63" s="8"/>
      <c r="AH63" s="8"/>
      <c r="AI63" s="8"/>
      <c r="AJ63" s="8"/>
      <c r="AK63" s="8"/>
      <c r="AL63" s="8"/>
      <c r="AM63" s="8"/>
      <c r="AN63" s="8"/>
      <c r="AR63" s="14">
        <f>N63/AN74</f>
        <v>8.8528283657506507E-2</v>
      </c>
      <c r="AS63" s="8"/>
      <c r="AW63" s="33">
        <f t="shared" si="7"/>
        <v>18.381681356631102</v>
      </c>
      <c r="AX63" s="8"/>
    </row>
    <row r="64" spans="1:54" x14ac:dyDescent="0.25">
      <c r="A64" s="149">
        <v>42767</v>
      </c>
      <c r="B64" s="2">
        <v>18383</v>
      </c>
      <c r="C64" s="2">
        <v>312534</v>
      </c>
      <c r="D64" s="2">
        <v>17480</v>
      </c>
      <c r="E64" s="2">
        <v>269172</v>
      </c>
      <c r="F64" s="10">
        <f t="shared" si="2"/>
        <v>581706</v>
      </c>
      <c r="G64" s="10">
        <f t="shared" si="3"/>
        <v>35863</v>
      </c>
      <c r="H64" s="2"/>
      <c r="I64" s="2"/>
      <c r="J64" s="2"/>
      <c r="K64" s="2"/>
      <c r="L64" s="2"/>
      <c r="M64" s="13">
        <v>17346</v>
      </c>
      <c r="N64" s="10">
        <v>285277</v>
      </c>
      <c r="O64" s="10">
        <v>16592</v>
      </c>
      <c r="P64" s="10">
        <v>246471</v>
      </c>
      <c r="Q64" s="10">
        <f t="shared" si="10"/>
        <v>531748</v>
      </c>
      <c r="R64" s="10">
        <f t="shared" si="11"/>
        <v>33938</v>
      </c>
      <c r="S64" s="8"/>
      <c r="T64" s="8"/>
      <c r="U64" s="8"/>
      <c r="V64" s="8"/>
      <c r="W64" s="14">
        <f>Q64/S74</f>
        <v>6.8385358700720877E-2</v>
      </c>
      <c r="X64" s="9">
        <f t="shared" si="12"/>
        <v>1.1574465150058222</v>
      </c>
      <c r="Y64" s="8"/>
      <c r="Z64" s="8"/>
      <c r="AA64" s="8"/>
      <c r="AB64" s="8"/>
      <c r="AC64" s="14">
        <f>R64/Y74</f>
        <v>7.3560776833709041E-2</v>
      </c>
      <c r="AD64" s="9">
        <f t="shared" si="13"/>
        <v>1.045443587270974</v>
      </c>
      <c r="AE64" s="8"/>
      <c r="AF64" s="8"/>
      <c r="AG64" s="8"/>
      <c r="AH64" s="8"/>
      <c r="AI64" s="8"/>
      <c r="AJ64" s="8"/>
      <c r="AK64" s="8"/>
      <c r="AL64" s="8"/>
      <c r="AM64" s="8"/>
      <c r="AN64" s="8"/>
      <c r="AR64" s="14">
        <f>N64/AN74</f>
        <v>7.0817314578595553E-2</v>
      </c>
      <c r="AS64" s="8"/>
      <c r="AW64" s="33">
        <f t="shared" si="7"/>
        <v>16.446270033437102</v>
      </c>
      <c r="AX64" s="8"/>
    </row>
    <row r="65" spans="1:54" x14ac:dyDescent="0.25">
      <c r="A65" s="149">
        <v>42795</v>
      </c>
      <c r="B65" s="2">
        <v>19785</v>
      </c>
      <c r="C65" s="2">
        <v>307065</v>
      </c>
      <c r="D65" s="2">
        <v>19738</v>
      </c>
      <c r="E65" s="2">
        <v>307450</v>
      </c>
      <c r="F65" s="10">
        <f t="shared" si="2"/>
        <v>614515</v>
      </c>
      <c r="G65" s="10">
        <f t="shared" si="3"/>
        <v>39523</v>
      </c>
      <c r="H65" s="2"/>
      <c r="I65" s="2"/>
      <c r="J65" s="2"/>
      <c r="K65" s="2"/>
      <c r="L65" s="2"/>
      <c r="M65" s="13">
        <v>18844</v>
      </c>
      <c r="N65" s="10">
        <v>286522</v>
      </c>
      <c r="O65" s="10">
        <v>18588</v>
      </c>
      <c r="P65" s="10">
        <v>277802</v>
      </c>
      <c r="Q65" s="10">
        <f t="shared" si="10"/>
        <v>564324</v>
      </c>
      <c r="R65" s="10">
        <f t="shared" si="11"/>
        <v>37432</v>
      </c>
      <c r="S65" s="8"/>
      <c r="T65" s="8"/>
      <c r="U65" s="8"/>
      <c r="V65" s="8"/>
      <c r="W65" s="14">
        <f>Q65/S74</f>
        <v>7.257478949319153E-2</v>
      </c>
      <c r="X65" s="9">
        <f t="shared" si="12"/>
        <v>1.0313892628562789</v>
      </c>
      <c r="Y65" s="8"/>
      <c r="Z65" s="8"/>
      <c r="AA65" s="8"/>
      <c r="AB65" s="8"/>
      <c r="AC65" s="14">
        <f>R65/Y74</f>
        <v>8.1134038494884694E-2</v>
      </c>
      <c r="AD65" s="9">
        <f t="shared" si="13"/>
        <v>1.0137723262319775</v>
      </c>
      <c r="AE65" s="8"/>
      <c r="AF65" s="8"/>
      <c r="AG65" s="8"/>
      <c r="AH65" s="8"/>
      <c r="AI65" s="8"/>
      <c r="AJ65" s="8"/>
      <c r="AK65" s="8"/>
      <c r="AL65" s="8"/>
      <c r="AM65" s="8"/>
      <c r="AN65" s="8"/>
      <c r="AR65" s="14">
        <f>N65/AN74</f>
        <v>7.1126374042381119E-2</v>
      </c>
      <c r="AS65" s="8"/>
      <c r="AW65" s="33">
        <f t="shared" si="7"/>
        <v>15.20494587136489</v>
      </c>
      <c r="AX65" s="8"/>
    </row>
    <row r="66" spans="1:54" x14ac:dyDescent="0.25">
      <c r="A66" s="149">
        <v>42826</v>
      </c>
      <c r="B66" s="2">
        <v>20263</v>
      </c>
      <c r="C66" s="2">
        <v>364031</v>
      </c>
      <c r="D66" s="2">
        <v>20257</v>
      </c>
      <c r="E66" s="2">
        <v>342697</v>
      </c>
      <c r="F66" s="10">
        <f t="shared" si="2"/>
        <v>706728</v>
      </c>
      <c r="G66" s="10">
        <f t="shared" si="3"/>
        <v>40520</v>
      </c>
      <c r="H66" s="2"/>
      <c r="I66" s="2"/>
      <c r="J66" s="2"/>
      <c r="K66" s="2"/>
      <c r="L66" s="2"/>
      <c r="M66" s="13">
        <v>19322</v>
      </c>
      <c r="N66" s="10">
        <v>343488</v>
      </c>
      <c r="O66" s="10">
        <v>19107</v>
      </c>
      <c r="P66" s="10">
        <v>313049</v>
      </c>
      <c r="Q66" s="10">
        <f t="shared" si="10"/>
        <v>656537</v>
      </c>
      <c r="R66" s="10">
        <f t="shared" si="11"/>
        <v>38429</v>
      </c>
      <c r="S66" s="8"/>
      <c r="T66" s="8"/>
      <c r="U66" s="8"/>
      <c r="V66" s="8"/>
      <c r="W66" s="14">
        <f>Q66/S74</f>
        <v>8.4433826258481809E-2</v>
      </c>
      <c r="X66" s="9">
        <f t="shared" si="12"/>
        <v>1.0972339793450865</v>
      </c>
      <c r="Y66" s="8"/>
      <c r="Z66" s="8"/>
      <c r="AA66" s="8"/>
      <c r="AB66" s="8"/>
      <c r="AC66" s="14">
        <f>R66/Y74</f>
        <v>8.3295040749089652E-2</v>
      </c>
      <c r="AD66" s="9">
        <f t="shared" si="13"/>
        <v>1.0112524205788453</v>
      </c>
      <c r="AE66" s="8"/>
      <c r="AF66" s="8"/>
      <c r="AG66" s="8"/>
      <c r="AH66" s="8"/>
      <c r="AI66" s="8"/>
      <c r="AJ66" s="8"/>
      <c r="AK66" s="8"/>
      <c r="AL66" s="8"/>
      <c r="AM66" s="8"/>
      <c r="AN66" s="8"/>
      <c r="AR66" s="14">
        <f>N66/AN74</f>
        <v>8.5267644254435629E-2</v>
      </c>
      <c r="AS66" s="8"/>
      <c r="AW66" s="33">
        <f t="shared" si="7"/>
        <v>17.777041714108272</v>
      </c>
      <c r="AX66" s="8"/>
    </row>
    <row r="67" spans="1:54" x14ac:dyDescent="0.25">
      <c r="A67" s="150">
        <v>42856</v>
      </c>
      <c r="B67" s="2">
        <v>19515</v>
      </c>
      <c r="C67" s="2">
        <v>311479</v>
      </c>
      <c r="D67" s="2">
        <v>19151</v>
      </c>
      <c r="E67" s="2">
        <v>289478</v>
      </c>
      <c r="F67" s="10">
        <f t="shared" si="2"/>
        <v>600957</v>
      </c>
      <c r="G67" s="10">
        <f t="shared" si="3"/>
        <v>38666</v>
      </c>
      <c r="H67" s="2"/>
      <c r="I67" s="2"/>
      <c r="J67" s="2"/>
      <c r="K67" s="2"/>
      <c r="L67" s="2"/>
      <c r="M67" s="13">
        <v>19515</v>
      </c>
      <c r="N67" s="10">
        <v>311479</v>
      </c>
      <c r="O67" s="10">
        <v>19151</v>
      </c>
      <c r="P67" s="10">
        <v>289478</v>
      </c>
      <c r="Q67" s="10">
        <f t="shared" si="10"/>
        <v>600957</v>
      </c>
      <c r="R67" s="10">
        <f t="shared" si="11"/>
        <v>38666</v>
      </c>
      <c r="S67" s="8"/>
      <c r="T67" s="8"/>
      <c r="U67" s="8"/>
      <c r="V67" s="8"/>
      <c r="W67" s="14">
        <f>Q67/S74</f>
        <v>7.7285970062339907E-2</v>
      </c>
      <c r="X67" s="9">
        <f t="shared" si="12"/>
        <v>1.0760023214199352</v>
      </c>
      <c r="Y67" s="8"/>
      <c r="Z67" s="8"/>
      <c r="AA67" s="8"/>
      <c r="AB67" s="8"/>
      <c r="AC67" s="14">
        <f>R67/Y74</f>
        <v>8.3808739379226629E-2</v>
      </c>
      <c r="AD67" s="9">
        <f t="shared" si="13"/>
        <v>1.0190068403738708</v>
      </c>
      <c r="AE67" s="8"/>
      <c r="AF67" s="8"/>
      <c r="AG67" s="8"/>
      <c r="AH67" s="8"/>
      <c r="AI67" s="8"/>
      <c r="AJ67" s="8"/>
      <c r="AK67" s="8"/>
      <c r="AL67" s="8"/>
      <c r="AM67" s="8"/>
      <c r="AN67" s="8"/>
      <c r="AR67" s="14">
        <f>N67/AN74</f>
        <v>7.7321713028482369E-2</v>
      </c>
      <c r="AS67" s="8"/>
      <c r="AW67" s="33">
        <f t="shared" si="7"/>
        <v>15.96100435562388</v>
      </c>
      <c r="AX67" s="8"/>
    </row>
    <row r="68" spans="1:54" x14ac:dyDescent="0.25">
      <c r="A68" s="149">
        <v>42887</v>
      </c>
      <c r="B68" s="2">
        <v>19103</v>
      </c>
      <c r="C68" s="2">
        <v>315734</v>
      </c>
      <c r="D68" s="2">
        <v>18765</v>
      </c>
      <c r="E68" s="2">
        <v>286445</v>
      </c>
      <c r="F68" s="10">
        <f t="shared" ref="F68:F111" si="14">C68+E68</f>
        <v>602179</v>
      </c>
      <c r="G68" s="10">
        <f t="shared" ref="G68:G111" si="15">B68+D68</f>
        <v>37868</v>
      </c>
      <c r="H68" s="2"/>
      <c r="I68" s="2"/>
      <c r="J68" s="2"/>
      <c r="K68" s="2"/>
      <c r="L68" s="2"/>
      <c r="M68" s="13">
        <v>19103</v>
      </c>
      <c r="N68" s="10">
        <v>315734</v>
      </c>
      <c r="O68" s="10">
        <v>18765</v>
      </c>
      <c r="P68" s="10">
        <v>286445</v>
      </c>
      <c r="Q68" s="10">
        <f t="shared" si="10"/>
        <v>602179</v>
      </c>
      <c r="R68" s="10">
        <f t="shared" si="11"/>
        <v>37868</v>
      </c>
      <c r="S68" s="8"/>
      <c r="T68" s="8"/>
      <c r="U68" s="8"/>
      <c r="V68" s="8"/>
      <c r="W68" s="14">
        <f>Q68/S74</f>
        <v>7.7443125158987713E-2</v>
      </c>
      <c r="X68" s="9">
        <f t="shared" si="12"/>
        <v>1.1022499956361604</v>
      </c>
      <c r="Y68" s="8"/>
      <c r="Z68" s="8"/>
      <c r="AA68" s="8"/>
      <c r="AB68" s="8"/>
      <c r="AC68" s="14">
        <f>R68/Y74</f>
        <v>8.2079070573955262E-2</v>
      </c>
      <c r="AD68" s="9">
        <f t="shared" si="13"/>
        <v>1.0180122568611778</v>
      </c>
      <c r="AE68" s="8"/>
      <c r="AF68" s="8"/>
      <c r="AG68" s="8"/>
      <c r="AH68" s="8"/>
      <c r="AI68" s="8"/>
      <c r="AJ68" s="8"/>
      <c r="AK68" s="8"/>
      <c r="AL68" s="8"/>
      <c r="AM68" s="8"/>
      <c r="AN68" s="8"/>
      <c r="AR68" s="14">
        <f>N68/AN74</f>
        <v>7.8377976497082807E-2</v>
      </c>
      <c r="AS68" s="8"/>
      <c r="AW68" s="33">
        <f t="shared" si="7"/>
        <v>16.52797989844527</v>
      </c>
      <c r="AX68" s="8"/>
    </row>
    <row r="69" spans="1:54" x14ac:dyDescent="0.25">
      <c r="A69" s="149">
        <v>42917</v>
      </c>
      <c r="B69" s="2">
        <v>19720</v>
      </c>
      <c r="C69" s="2">
        <v>383014</v>
      </c>
      <c r="D69" s="2">
        <v>20817</v>
      </c>
      <c r="E69" s="2">
        <v>373701</v>
      </c>
      <c r="F69" s="10">
        <f t="shared" si="14"/>
        <v>756715</v>
      </c>
      <c r="G69" s="10">
        <f t="shared" si="15"/>
        <v>40537</v>
      </c>
      <c r="H69" s="2"/>
      <c r="I69" s="2"/>
      <c r="J69" s="2"/>
      <c r="K69" s="2"/>
      <c r="L69" s="2"/>
      <c r="M69" s="13">
        <v>19720</v>
      </c>
      <c r="N69" s="10">
        <v>383014</v>
      </c>
      <c r="O69" s="10">
        <v>20817</v>
      </c>
      <c r="P69" s="10">
        <v>373701</v>
      </c>
      <c r="Q69" s="10">
        <f t="shared" si="10"/>
        <v>756715</v>
      </c>
      <c r="R69" s="10">
        <f t="shared" si="11"/>
        <v>40537</v>
      </c>
      <c r="S69" s="8"/>
      <c r="T69" s="8"/>
      <c r="U69" s="8"/>
      <c r="V69" s="8"/>
      <c r="W69" s="14">
        <f>Q69/S74</f>
        <v>9.7317200458141837E-2</v>
      </c>
      <c r="X69" s="9">
        <f t="shared" si="12"/>
        <v>1.0249209929863714</v>
      </c>
      <c r="Y69" s="8"/>
      <c r="Z69" s="8"/>
      <c r="AA69" s="8"/>
      <c r="AB69" s="8"/>
      <c r="AC69" s="14">
        <f>R69/Y74</f>
        <v>8.7864140801109769E-2</v>
      </c>
      <c r="AD69" s="9">
        <f t="shared" si="13"/>
        <v>0.94730268530527939</v>
      </c>
      <c r="AE69" s="8"/>
      <c r="AF69" s="8"/>
      <c r="AG69" s="8"/>
      <c r="AH69" s="8"/>
      <c r="AI69" s="8"/>
      <c r="AJ69" s="8"/>
      <c r="AK69" s="8"/>
      <c r="AL69" s="8"/>
      <c r="AM69" s="8"/>
      <c r="AN69" s="8"/>
      <c r="AR69" s="14">
        <f>N69/AN74</f>
        <v>9.5079599568160769E-2</v>
      </c>
      <c r="AS69" s="8"/>
      <c r="AW69" s="33">
        <f t="shared" si="7"/>
        <v>19.422616632860041</v>
      </c>
      <c r="AX69" s="8"/>
    </row>
    <row r="70" spans="1:54" x14ac:dyDescent="0.25">
      <c r="A70" s="149">
        <v>42948</v>
      </c>
      <c r="B70" s="2">
        <v>19176</v>
      </c>
      <c r="C70" s="2">
        <v>306193</v>
      </c>
      <c r="D70" s="2">
        <v>20364</v>
      </c>
      <c r="E70" s="2">
        <v>318373</v>
      </c>
      <c r="F70" s="10">
        <f t="shared" si="14"/>
        <v>624566</v>
      </c>
      <c r="G70" s="10">
        <f t="shared" si="15"/>
        <v>39540</v>
      </c>
      <c r="H70" s="2"/>
      <c r="I70" s="2"/>
      <c r="J70" s="2"/>
      <c r="K70" s="2"/>
      <c r="L70" s="2"/>
      <c r="M70" s="13">
        <v>19176</v>
      </c>
      <c r="N70" s="10">
        <v>306193</v>
      </c>
      <c r="O70" s="10">
        <v>20364</v>
      </c>
      <c r="P70" s="10">
        <v>318373</v>
      </c>
      <c r="Q70" s="10">
        <f t="shared" si="10"/>
        <v>624566</v>
      </c>
      <c r="R70" s="10">
        <f t="shared" si="11"/>
        <v>39540</v>
      </c>
      <c r="S70" s="8"/>
      <c r="T70" s="8"/>
      <c r="U70" s="8"/>
      <c r="V70" s="8"/>
      <c r="W70" s="14">
        <f>Q70/S74</f>
        <v>8.0322201385382624E-2</v>
      </c>
      <c r="X70" s="9">
        <f t="shared" si="12"/>
        <v>0.96174298699952576</v>
      </c>
      <c r="Y70" s="8"/>
      <c r="Z70" s="8"/>
      <c r="AA70" s="8"/>
      <c r="AB70" s="8"/>
      <c r="AC70" s="14">
        <f>R70/Y74</f>
        <v>8.5703138546904797E-2</v>
      </c>
      <c r="AD70" s="9">
        <f t="shared" si="13"/>
        <v>0.94166175604007074</v>
      </c>
      <c r="AE70" s="8"/>
      <c r="AF70" s="8"/>
      <c r="AG70" s="8"/>
      <c r="AH70" s="8"/>
      <c r="AI70" s="8"/>
      <c r="AJ70" s="8"/>
      <c r="AK70" s="8"/>
      <c r="AL70" s="8"/>
      <c r="AM70" s="8"/>
      <c r="AN70" s="8"/>
      <c r="AR70" s="14">
        <f>N70/AN74</f>
        <v>7.6009513570192866E-2</v>
      </c>
      <c r="AS70" s="8"/>
      <c r="AW70" s="33">
        <f t="shared" si="7"/>
        <v>15.967511472674175</v>
      </c>
      <c r="AX70" s="8"/>
    </row>
    <row r="71" spans="1:54" x14ac:dyDescent="0.25">
      <c r="A71" s="149">
        <v>42979</v>
      </c>
      <c r="B71" s="2">
        <v>18986</v>
      </c>
      <c r="C71" s="2">
        <v>332205</v>
      </c>
      <c r="D71" s="2">
        <v>19833</v>
      </c>
      <c r="E71" s="2">
        <v>327980</v>
      </c>
      <c r="F71" s="10">
        <f t="shared" si="14"/>
        <v>660185</v>
      </c>
      <c r="G71" s="10">
        <f t="shared" si="15"/>
        <v>38819</v>
      </c>
      <c r="H71" s="2"/>
      <c r="I71" s="2"/>
      <c r="J71" s="2"/>
      <c r="K71" s="2"/>
      <c r="L71" s="2"/>
      <c r="M71" s="13">
        <v>18986</v>
      </c>
      <c r="N71" s="10">
        <v>332205</v>
      </c>
      <c r="O71" s="10">
        <v>19833</v>
      </c>
      <c r="P71" s="10">
        <v>327980</v>
      </c>
      <c r="Q71" s="10">
        <f t="shared" si="10"/>
        <v>660185</v>
      </c>
      <c r="R71" s="10">
        <f t="shared" si="11"/>
        <v>38819</v>
      </c>
      <c r="S71" s="8"/>
      <c r="T71" s="8"/>
      <c r="U71" s="8"/>
      <c r="V71" s="8"/>
      <c r="W71" s="14">
        <f>Q71/S74</f>
        <v>8.4902976661567917E-2</v>
      </c>
      <c r="X71" s="9">
        <f t="shared" si="12"/>
        <v>1.0128818830416488</v>
      </c>
      <c r="Y71" s="8"/>
      <c r="Z71" s="8"/>
      <c r="AA71" s="8"/>
      <c r="AB71" s="8"/>
      <c r="AC71" s="14">
        <f>R71/Y74</f>
        <v>8.4140367608808733E-2</v>
      </c>
      <c r="AD71" s="9">
        <f t="shared" si="13"/>
        <v>0.9572933998890738</v>
      </c>
      <c r="AE71" s="8"/>
      <c r="AF71" s="8"/>
      <c r="AG71" s="8"/>
      <c r="AH71" s="8"/>
      <c r="AI71" s="8"/>
      <c r="AJ71" s="8"/>
      <c r="AK71" s="8"/>
      <c r="AL71" s="8"/>
      <c r="AM71" s="8"/>
      <c r="AN71" s="8"/>
      <c r="AR71" s="14">
        <f>N71/AN74</f>
        <v>8.246674631877908E-2</v>
      </c>
      <c r="AS71" s="8"/>
      <c r="AW71" s="33">
        <f t="shared" si="7"/>
        <v>17.497366480564626</v>
      </c>
      <c r="AX71" s="8"/>
    </row>
    <row r="72" spans="1:54" x14ac:dyDescent="0.25">
      <c r="A72" s="149">
        <v>43009</v>
      </c>
      <c r="B72" s="2">
        <v>19688</v>
      </c>
      <c r="C72" s="2">
        <v>352423</v>
      </c>
      <c r="D72" s="2">
        <v>19564</v>
      </c>
      <c r="E72" s="2">
        <v>329369</v>
      </c>
      <c r="F72" s="10">
        <f t="shared" si="14"/>
        <v>681792</v>
      </c>
      <c r="G72" s="10">
        <f t="shared" si="15"/>
        <v>39252</v>
      </c>
      <c r="H72" s="2"/>
      <c r="I72" s="2"/>
      <c r="J72" s="2"/>
      <c r="K72" s="2"/>
      <c r="L72" s="2"/>
      <c r="M72" s="13">
        <v>19688</v>
      </c>
      <c r="N72" s="10">
        <v>352423</v>
      </c>
      <c r="O72" s="10">
        <v>19564</v>
      </c>
      <c r="P72" s="10">
        <v>329369</v>
      </c>
      <c r="Q72" s="10">
        <f t="shared" si="10"/>
        <v>681792</v>
      </c>
      <c r="R72" s="10">
        <f t="shared" si="11"/>
        <v>39252</v>
      </c>
      <c r="S72" s="8"/>
      <c r="T72" s="8"/>
      <c r="U72" s="8"/>
      <c r="V72" s="8"/>
      <c r="W72" s="14">
        <f>Q72/S74</f>
        <v>8.7681741124145063E-2</v>
      </c>
      <c r="X72" s="9">
        <f t="shared" si="12"/>
        <v>1.0699944439215592</v>
      </c>
      <c r="Y72" s="8"/>
      <c r="Z72" s="8"/>
      <c r="AA72" s="8"/>
      <c r="AB72" s="8"/>
      <c r="AC72" s="14">
        <f>R72/Y74</f>
        <v>8.5078897173573781E-2</v>
      </c>
      <c r="AD72" s="9">
        <f t="shared" si="13"/>
        <v>1.0063381721529339</v>
      </c>
      <c r="AE72" s="8"/>
      <c r="AF72" s="8"/>
      <c r="AG72" s="8"/>
      <c r="AH72" s="8"/>
      <c r="AI72" s="8"/>
      <c r="AJ72" s="8"/>
      <c r="AK72" s="8"/>
      <c r="AL72" s="8"/>
      <c r="AM72" s="8"/>
      <c r="AN72" s="8"/>
      <c r="AR72" s="14">
        <f>N72/AN74</f>
        <v>8.7485673418229937E-2</v>
      </c>
      <c r="AS72" s="8"/>
      <c r="AW72" s="33">
        <f t="shared" si="7"/>
        <v>17.900396180414464</v>
      </c>
      <c r="AX72" s="8"/>
    </row>
    <row r="73" spans="1:54" x14ac:dyDescent="0.25">
      <c r="A73" s="149">
        <v>43040</v>
      </c>
      <c r="B73" s="2">
        <v>18672</v>
      </c>
      <c r="C73" s="2">
        <v>307568</v>
      </c>
      <c r="D73" s="2">
        <v>18304</v>
      </c>
      <c r="E73" s="2">
        <v>248659</v>
      </c>
      <c r="F73" s="10">
        <f t="shared" si="14"/>
        <v>556227</v>
      </c>
      <c r="G73" s="10">
        <f t="shared" si="15"/>
        <v>36976</v>
      </c>
      <c r="H73" s="2"/>
      <c r="I73" s="2"/>
      <c r="J73" s="2"/>
      <c r="K73" s="2"/>
      <c r="L73" s="2"/>
      <c r="M73" s="13">
        <v>18672</v>
      </c>
      <c r="N73" s="10">
        <v>307568</v>
      </c>
      <c r="O73" s="10">
        <v>18304</v>
      </c>
      <c r="P73" s="10">
        <v>248659</v>
      </c>
      <c r="Q73" s="10">
        <f t="shared" si="10"/>
        <v>556227</v>
      </c>
      <c r="R73" s="10">
        <f t="shared" si="11"/>
        <v>36976</v>
      </c>
      <c r="S73" s="8"/>
      <c r="T73" s="8"/>
      <c r="U73" s="8"/>
      <c r="V73" s="8"/>
      <c r="W73" s="14">
        <f>Q73/S74</f>
        <v>7.1533476221868023E-2</v>
      </c>
      <c r="X73" s="9">
        <f t="shared" si="12"/>
        <v>1.2369067679030319</v>
      </c>
      <c r="Y73" s="8"/>
      <c r="Z73" s="8"/>
      <c r="AA73" s="8"/>
      <c r="AB73" s="8"/>
      <c r="AC73" s="14">
        <f>R73/Y74</f>
        <v>8.0145656320443903E-2</v>
      </c>
      <c r="AD73" s="9">
        <f t="shared" si="13"/>
        <v>1.0201048951048952</v>
      </c>
      <c r="AE73" s="8"/>
      <c r="AF73" s="8"/>
      <c r="AG73" s="8"/>
      <c r="AH73" s="8"/>
      <c r="AI73" s="8"/>
      <c r="AJ73" s="8"/>
      <c r="AK73" s="8"/>
      <c r="AL73" s="8"/>
      <c r="AM73" s="8"/>
      <c r="AN73" s="8"/>
      <c r="AR73" s="14">
        <f>N73/AN74</f>
        <v>7.6350844303289367E-2</v>
      </c>
      <c r="AS73" s="8"/>
      <c r="AW73" s="33">
        <f t="shared" si="7"/>
        <v>16.472150814053126</v>
      </c>
      <c r="AX73" s="8"/>
    </row>
    <row r="74" spans="1:54" x14ac:dyDescent="0.25">
      <c r="A74" s="149">
        <v>43070</v>
      </c>
      <c r="B74" s="2">
        <v>20907</v>
      </c>
      <c r="C74" s="2">
        <v>447825</v>
      </c>
      <c r="D74" s="2">
        <v>19908</v>
      </c>
      <c r="E74" s="2">
        <v>376194</v>
      </c>
      <c r="F74" s="10">
        <f t="shared" si="14"/>
        <v>824019</v>
      </c>
      <c r="G74" s="10">
        <f t="shared" si="15"/>
        <v>40815</v>
      </c>
      <c r="H74" s="11">
        <f>SUM(F63:F74)</f>
        <v>8027037</v>
      </c>
      <c r="I74" s="11">
        <f>AVERAGE(F63:F74)</f>
        <v>668919.75</v>
      </c>
      <c r="J74" s="11">
        <f>H74/365</f>
        <v>21991.882191780824</v>
      </c>
      <c r="K74" s="15">
        <f>(J74-J62)/J62</f>
        <v>-2.9043759478785007E-2</v>
      </c>
      <c r="L74" s="2"/>
      <c r="M74" s="13">
        <v>20907</v>
      </c>
      <c r="N74" s="10">
        <v>447825</v>
      </c>
      <c r="O74" s="10">
        <v>19908</v>
      </c>
      <c r="P74" s="10">
        <v>376194</v>
      </c>
      <c r="Q74" s="10">
        <f t="shared" si="10"/>
        <v>824019</v>
      </c>
      <c r="R74" s="10">
        <f t="shared" si="11"/>
        <v>40815</v>
      </c>
      <c r="S74" s="11">
        <f>SUM(Q63:Q74)</f>
        <v>7775758</v>
      </c>
      <c r="T74" s="11">
        <f>AVERAGE(Q63:Q74)</f>
        <v>647979.83333333337</v>
      </c>
      <c r="U74" s="11">
        <f>S74/365</f>
        <v>21303.446575342467</v>
      </c>
      <c r="V74" s="15">
        <f>(U74-U62)/U62</f>
        <v>2.2244366865157697E-2</v>
      </c>
      <c r="W74" s="14">
        <f>Q74/S74</f>
        <v>0.1059728196273598</v>
      </c>
      <c r="X74" s="9">
        <f t="shared" si="12"/>
        <v>1.1904097354024785</v>
      </c>
      <c r="Y74" s="11">
        <f>SUM(R63:R74)</f>
        <v>461360</v>
      </c>
      <c r="Z74" s="11">
        <f>Y74/12</f>
        <v>38446.666666666664</v>
      </c>
      <c r="AA74" s="11">
        <f>Y74/365</f>
        <v>1264</v>
      </c>
      <c r="AB74" s="15">
        <f>(AA74-AA62)/AA62</f>
        <v>1.7612351805900171E-2</v>
      </c>
      <c r="AC74" s="14">
        <f>R74/Y74</f>
        <v>8.8466707126755681E-2</v>
      </c>
      <c r="AD74" s="9">
        <f t="shared" si="13"/>
        <v>1.0501808318264014</v>
      </c>
      <c r="AE74" s="11">
        <f>SUM(M63:M74)</f>
        <v>230680</v>
      </c>
      <c r="AF74" s="11">
        <f>AE74/12</f>
        <v>19223.333333333332</v>
      </c>
      <c r="AG74" s="11">
        <f>AE74/365</f>
        <v>632</v>
      </c>
      <c r="AH74" s="15">
        <f>AE74/Y74</f>
        <v>0.5</v>
      </c>
      <c r="AI74" s="8"/>
      <c r="AJ74" s="11">
        <f>SUM(O63:O74)</f>
        <v>230680</v>
      </c>
      <c r="AK74" s="11">
        <f>AJ74/12</f>
        <v>19223.333333333332</v>
      </c>
      <c r="AL74" s="11">
        <f>AJ74/365</f>
        <v>632</v>
      </c>
      <c r="AM74" s="15">
        <f>AJ74/Y74</f>
        <v>0.5</v>
      </c>
      <c r="AN74" s="11">
        <f>SUM(N63:N74)</f>
        <v>4028351</v>
      </c>
      <c r="AO74" s="11">
        <f>AN74/12</f>
        <v>335695.91666666669</v>
      </c>
      <c r="AP74" s="11">
        <f>AN74/365</f>
        <v>11036.578082191782</v>
      </c>
      <c r="AQ74" s="15">
        <f>AN74/S74</f>
        <v>0.51806537703462474</v>
      </c>
      <c r="AR74" s="14">
        <f>N74/AN74</f>
        <v>0.11116831676286401</v>
      </c>
      <c r="AS74" s="11">
        <f>SUM(P63:P74)</f>
        <v>3747407</v>
      </c>
      <c r="AT74" s="11">
        <f>AS74/12</f>
        <v>312283.91666666669</v>
      </c>
      <c r="AU74" s="11">
        <f>AS74/365</f>
        <v>10266.868493150685</v>
      </c>
      <c r="AV74" s="15">
        <f>AS74/S74</f>
        <v>0.4819346229653752</v>
      </c>
      <c r="AW74" s="33">
        <f t="shared" si="7"/>
        <v>21.419859377242073</v>
      </c>
      <c r="AX74" s="11">
        <f>S74/AE74</f>
        <v>33.707985087567195</v>
      </c>
      <c r="AY74" s="11">
        <f>AX74/12</f>
        <v>2.8089987572972661</v>
      </c>
      <c r="AZ74" s="11">
        <f>AX74/365</f>
        <v>9.2350644075526567E-2</v>
      </c>
      <c r="BA74" s="15">
        <f>AX74/W74</f>
        <v>318.08142131253203</v>
      </c>
      <c r="BB74" s="15"/>
    </row>
    <row r="75" spans="1:54" x14ac:dyDescent="0.25">
      <c r="A75" s="149">
        <v>43101</v>
      </c>
      <c r="B75" s="2">
        <v>20495</v>
      </c>
      <c r="C75" s="2">
        <v>404742</v>
      </c>
      <c r="D75" s="2">
        <v>20519</v>
      </c>
      <c r="E75" s="2">
        <v>414466</v>
      </c>
      <c r="F75" s="10">
        <f t="shared" si="14"/>
        <v>819208</v>
      </c>
      <c r="G75" s="10">
        <f t="shared" si="15"/>
        <v>41014</v>
      </c>
      <c r="H75" s="2"/>
      <c r="I75" s="2"/>
      <c r="J75" s="2"/>
      <c r="K75" s="2"/>
      <c r="L75" s="2"/>
      <c r="M75" s="13">
        <v>20495</v>
      </c>
      <c r="N75" s="10">
        <v>404742</v>
      </c>
      <c r="O75" s="10">
        <v>20519</v>
      </c>
      <c r="P75" s="10">
        <v>414466</v>
      </c>
      <c r="Q75" s="10">
        <f t="shared" si="10"/>
        <v>819208</v>
      </c>
      <c r="R75" s="10">
        <f t="shared" si="11"/>
        <v>41014</v>
      </c>
      <c r="S75" s="8"/>
      <c r="T75" s="8"/>
      <c r="U75" s="8"/>
      <c r="V75" s="8"/>
      <c r="W75" s="14">
        <f>Q75/S86</f>
        <v>9.7842073066007645E-2</v>
      </c>
      <c r="X75" s="9">
        <f t="shared" si="12"/>
        <v>0.97653848566589296</v>
      </c>
      <c r="Y75" s="8"/>
      <c r="Z75" s="8"/>
      <c r="AA75" s="8"/>
      <c r="AB75" s="8"/>
      <c r="AC75" s="14">
        <f>R75/Y86</f>
        <v>9.0284320545219204E-2</v>
      </c>
      <c r="AD75" s="9">
        <f>M75/O75</f>
        <v>0.99883035235635265</v>
      </c>
      <c r="AE75" s="8"/>
      <c r="AF75" s="8"/>
      <c r="AG75" s="8"/>
      <c r="AH75" s="8"/>
      <c r="AI75" s="8"/>
      <c r="AJ75" s="8"/>
      <c r="AK75" s="8"/>
      <c r="AL75" s="8"/>
      <c r="AM75" s="8"/>
      <c r="AN75" s="8"/>
      <c r="AR75" s="14">
        <f>N75/AN86</f>
        <v>9.3314105290824137E-2</v>
      </c>
      <c r="AS75" s="8"/>
      <c r="AW75" s="33">
        <f t="shared" si="7"/>
        <v>19.748328860697733</v>
      </c>
      <c r="AX75" s="8"/>
    </row>
    <row r="76" spans="1:54" x14ac:dyDescent="0.25">
      <c r="A76" s="149">
        <v>43132</v>
      </c>
      <c r="B76" s="2">
        <v>17948</v>
      </c>
      <c r="C76" s="2">
        <v>326680</v>
      </c>
      <c r="D76" s="2">
        <v>17888</v>
      </c>
      <c r="E76" s="2">
        <v>317324</v>
      </c>
      <c r="F76" s="10">
        <f t="shared" si="14"/>
        <v>644004</v>
      </c>
      <c r="G76" s="10">
        <f t="shared" si="15"/>
        <v>35836</v>
      </c>
      <c r="H76" s="2"/>
      <c r="I76" s="2"/>
      <c r="J76" s="2"/>
      <c r="K76" s="2"/>
      <c r="L76" s="2"/>
      <c r="M76" s="13">
        <v>17948</v>
      </c>
      <c r="N76" s="10">
        <v>326680</v>
      </c>
      <c r="O76" s="10">
        <v>17888</v>
      </c>
      <c r="P76" s="10">
        <v>317324</v>
      </c>
      <c r="Q76" s="10">
        <f t="shared" si="10"/>
        <v>644004</v>
      </c>
      <c r="R76" s="10">
        <f t="shared" si="11"/>
        <v>35836</v>
      </c>
      <c r="S76" s="8"/>
      <c r="T76" s="8"/>
      <c r="U76" s="8"/>
      <c r="V76" s="8"/>
      <c r="W76" s="14">
        <f>Q76/S86</f>
        <v>7.6916590686127564E-2</v>
      </c>
      <c r="X76" s="9">
        <f t="shared" si="12"/>
        <v>1.0294840604555595</v>
      </c>
      <c r="Y76" s="8"/>
      <c r="Z76" s="8"/>
      <c r="AA76" s="8"/>
      <c r="AB76" s="8"/>
      <c r="AC76" s="14">
        <f>R76/Y86</f>
        <v>7.888596359922162E-2</v>
      </c>
      <c r="AD76" s="9">
        <f t="shared" si="13"/>
        <v>1.0033542039355994</v>
      </c>
      <c r="AE76" s="8"/>
      <c r="AF76" s="8"/>
      <c r="AG76" s="8"/>
      <c r="AH76" s="8"/>
      <c r="AI76" s="8"/>
      <c r="AJ76" s="8"/>
      <c r="AK76" s="8"/>
      <c r="AL76" s="8"/>
      <c r="AM76" s="8"/>
      <c r="AN76" s="8"/>
      <c r="AR76" s="14">
        <f>N76/AN86</f>
        <v>7.5316749723049331E-2</v>
      </c>
      <c r="AS76" s="8"/>
      <c r="AW76" s="33">
        <f t="shared" si="7"/>
        <v>18.201470915979495</v>
      </c>
      <c r="AX76" s="8"/>
    </row>
    <row r="77" spans="1:54" x14ac:dyDescent="0.25">
      <c r="A77" s="149">
        <v>43160</v>
      </c>
      <c r="B77" s="2">
        <v>19317</v>
      </c>
      <c r="C77" s="2">
        <v>335033</v>
      </c>
      <c r="D77" s="2">
        <v>18817</v>
      </c>
      <c r="E77" s="2">
        <v>292365</v>
      </c>
      <c r="F77" s="10">
        <f t="shared" si="14"/>
        <v>627398</v>
      </c>
      <c r="G77" s="10">
        <f t="shared" si="15"/>
        <v>38134</v>
      </c>
      <c r="H77" s="2"/>
      <c r="I77" s="2"/>
      <c r="J77" s="2"/>
      <c r="K77" s="2"/>
      <c r="L77" s="2"/>
      <c r="M77" s="13">
        <v>19317</v>
      </c>
      <c r="N77" s="10">
        <v>335033</v>
      </c>
      <c r="O77" s="10">
        <v>18817</v>
      </c>
      <c r="P77" s="10">
        <v>292365</v>
      </c>
      <c r="Q77" s="10">
        <f t="shared" si="10"/>
        <v>627398</v>
      </c>
      <c r="R77" s="10">
        <f t="shared" si="11"/>
        <v>38134</v>
      </c>
      <c r="S77" s="8"/>
      <c r="T77" s="8"/>
      <c r="U77" s="8"/>
      <c r="V77" s="8"/>
      <c r="W77" s="14">
        <f>Q77/S86</f>
        <v>7.4933253773726644E-2</v>
      </c>
      <c r="X77" s="9">
        <f t="shared" si="12"/>
        <v>1.1459408615942401</v>
      </c>
      <c r="Y77" s="8"/>
      <c r="Z77" s="8"/>
      <c r="AA77" s="8"/>
      <c r="AB77" s="8"/>
      <c r="AC77" s="14">
        <f>R77/Y86</f>
        <v>8.3944562336553105E-2</v>
      </c>
      <c r="AD77" s="9">
        <f t="shared" si="13"/>
        <v>1.0265717170643567</v>
      </c>
      <c r="AE77" s="8"/>
      <c r="AF77" s="8"/>
      <c r="AG77" s="8"/>
      <c r="AH77" s="8"/>
      <c r="AI77" s="8"/>
      <c r="AJ77" s="8"/>
      <c r="AK77" s="8"/>
      <c r="AL77" s="8"/>
      <c r="AM77" s="8"/>
      <c r="AN77" s="8"/>
      <c r="AR77" s="14">
        <f>N77/AN86</f>
        <v>7.7242551150858291E-2</v>
      </c>
      <c r="AS77" s="8"/>
      <c r="AW77" s="33">
        <f t="shared" si="7"/>
        <v>17.343945747269245</v>
      </c>
      <c r="AX77" s="8"/>
    </row>
    <row r="78" spans="1:54" x14ac:dyDescent="0.25">
      <c r="A78" s="149">
        <v>43191</v>
      </c>
      <c r="B78" s="2">
        <v>18646</v>
      </c>
      <c r="C78" s="2">
        <v>324865</v>
      </c>
      <c r="D78" s="2">
        <v>18647</v>
      </c>
      <c r="E78" s="2">
        <v>316228</v>
      </c>
      <c r="F78" s="10">
        <f t="shared" si="14"/>
        <v>641093</v>
      </c>
      <c r="G78" s="10">
        <f t="shared" si="15"/>
        <v>37293</v>
      </c>
      <c r="H78" s="2"/>
      <c r="I78" s="2"/>
      <c r="J78" s="2"/>
      <c r="K78" s="2"/>
      <c r="L78" s="2"/>
      <c r="M78" s="13">
        <v>18646</v>
      </c>
      <c r="N78" s="10">
        <v>324865</v>
      </c>
      <c r="O78" s="10">
        <v>18647</v>
      </c>
      <c r="P78" s="10">
        <v>316228</v>
      </c>
      <c r="Q78" s="10">
        <f t="shared" si="10"/>
        <v>641093</v>
      </c>
      <c r="R78" s="10">
        <f t="shared" si="11"/>
        <v>37293</v>
      </c>
      <c r="S78" s="8"/>
      <c r="T78" s="8"/>
      <c r="U78" s="8"/>
      <c r="V78" s="8"/>
      <c r="W78" s="14">
        <f>Q78/S86</f>
        <v>7.656891552341534E-2</v>
      </c>
      <c r="X78" s="9">
        <f t="shared" si="12"/>
        <v>1.0273125719417635</v>
      </c>
      <c r="Y78" s="8"/>
      <c r="Z78" s="8"/>
      <c r="AA78" s="8"/>
      <c r="AB78" s="8"/>
      <c r="AC78" s="14">
        <f>R78/Y86</f>
        <v>8.2093264887425271E-2</v>
      </c>
      <c r="AD78" s="9">
        <f t="shared" si="13"/>
        <v>0.99994637207057435</v>
      </c>
      <c r="AE78" s="8"/>
      <c r="AF78" s="8"/>
      <c r="AG78" s="8"/>
      <c r="AH78" s="8"/>
      <c r="AI78" s="8"/>
      <c r="AJ78" s="8"/>
      <c r="AK78" s="8"/>
      <c r="AL78" s="8"/>
      <c r="AM78" s="8"/>
      <c r="AN78" s="8"/>
      <c r="AR78" s="14">
        <f>N78/AN86</f>
        <v>7.4898297718802562E-2</v>
      </c>
      <c r="AS78" s="8"/>
      <c r="AW78" s="33">
        <f t="shared" si="7"/>
        <v>17.422771640030032</v>
      </c>
      <c r="AX78" s="8"/>
    </row>
    <row r="79" spans="1:54" x14ac:dyDescent="0.25">
      <c r="A79" s="149">
        <v>43221</v>
      </c>
      <c r="B79" s="2">
        <v>18426</v>
      </c>
      <c r="C79" s="2">
        <v>329286</v>
      </c>
      <c r="D79" s="2">
        <v>18223</v>
      </c>
      <c r="E79" s="2">
        <v>304435</v>
      </c>
      <c r="F79" s="10">
        <f t="shared" si="14"/>
        <v>633721</v>
      </c>
      <c r="G79" s="10">
        <f t="shared" si="15"/>
        <v>36649</v>
      </c>
      <c r="H79" s="2"/>
      <c r="I79" s="2"/>
      <c r="J79" s="2"/>
      <c r="K79" s="2"/>
      <c r="L79" s="2"/>
      <c r="M79" s="13">
        <v>18426</v>
      </c>
      <c r="N79" s="10">
        <v>329286</v>
      </c>
      <c r="O79" s="10">
        <v>18223</v>
      </c>
      <c r="P79" s="10">
        <v>304435</v>
      </c>
      <c r="Q79" s="10">
        <f t="shared" si="10"/>
        <v>633721</v>
      </c>
      <c r="R79" s="10">
        <f t="shared" si="11"/>
        <v>36649</v>
      </c>
      <c r="S79" s="8"/>
      <c r="T79" s="8"/>
      <c r="U79" s="8"/>
      <c r="V79" s="8"/>
      <c r="W79" s="14">
        <f>Q79/S86</f>
        <v>7.5688441013104638E-2</v>
      </c>
      <c r="X79" s="9">
        <f t="shared" si="12"/>
        <v>1.0816299045773319</v>
      </c>
      <c r="Y79" s="8"/>
      <c r="Z79" s="8"/>
      <c r="AA79" s="8"/>
      <c r="AB79" s="8"/>
      <c r="AC79" s="14">
        <f>R79/Y86</f>
        <v>8.0675624510209654E-2</v>
      </c>
      <c r="AD79" s="9">
        <f t="shared" si="13"/>
        <v>1.0111397684245185</v>
      </c>
      <c r="AE79" s="8"/>
      <c r="AF79" s="8"/>
      <c r="AG79" s="8"/>
      <c r="AH79" s="8"/>
      <c r="AI79" s="8"/>
      <c r="AJ79" s="8"/>
      <c r="AK79" s="8"/>
      <c r="AL79" s="8"/>
      <c r="AM79" s="8"/>
      <c r="AN79" s="8"/>
      <c r="AR79" s="14">
        <f>N79/AN86</f>
        <v>7.5917568413444408E-2</v>
      </c>
      <c r="AS79" s="8"/>
      <c r="AW79" s="33">
        <f t="shared" si="7"/>
        <v>17.870726147834581</v>
      </c>
      <c r="AX79" s="8"/>
    </row>
    <row r="80" spans="1:54" x14ac:dyDescent="0.25">
      <c r="A80" s="149">
        <v>43252</v>
      </c>
      <c r="B80" s="2">
        <v>18161</v>
      </c>
      <c r="C80" s="2">
        <v>311013</v>
      </c>
      <c r="D80" s="2">
        <v>17993</v>
      </c>
      <c r="E80" s="2">
        <v>296917</v>
      </c>
      <c r="F80" s="10">
        <f t="shared" si="14"/>
        <v>607930</v>
      </c>
      <c r="G80" s="10">
        <f t="shared" si="15"/>
        <v>36154</v>
      </c>
      <c r="H80" s="2"/>
      <c r="I80" s="2"/>
      <c r="J80" s="2"/>
      <c r="K80" s="2"/>
      <c r="L80" s="2"/>
      <c r="M80" s="13">
        <v>18161</v>
      </c>
      <c r="N80" s="10">
        <v>311013</v>
      </c>
      <c r="O80" s="10">
        <v>17993</v>
      </c>
      <c r="P80" s="10">
        <v>296917</v>
      </c>
      <c r="Q80" s="10">
        <f t="shared" si="10"/>
        <v>607930</v>
      </c>
      <c r="R80" s="10">
        <f t="shared" si="11"/>
        <v>36154</v>
      </c>
      <c r="S80" s="8"/>
      <c r="T80" s="8"/>
      <c r="U80" s="8"/>
      <c r="V80" s="8"/>
      <c r="W80" s="14">
        <f>Q80/S86</f>
        <v>7.2608094011555088E-2</v>
      </c>
      <c r="X80" s="9">
        <f t="shared" si="12"/>
        <v>1.0474745467588584</v>
      </c>
      <c r="Y80" s="8"/>
      <c r="Z80" s="8"/>
      <c r="AA80" s="8"/>
      <c r="AB80" s="8"/>
      <c r="AC80" s="14">
        <f>R80/Y86</f>
        <v>7.958597856809517E-2</v>
      </c>
      <c r="AD80" s="9">
        <f t="shared" si="13"/>
        <v>1.0093369643750347</v>
      </c>
      <c r="AE80" s="8"/>
      <c r="AF80" s="8"/>
      <c r="AG80" s="8"/>
      <c r="AH80" s="8"/>
      <c r="AI80" s="8"/>
      <c r="AJ80" s="8"/>
      <c r="AK80" s="8"/>
      <c r="AL80" s="8"/>
      <c r="AM80" s="8"/>
      <c r="AN80" s="8"/>
      <c r="AR80" s="14">
        <f>N80/AN86</f>
        <v>7.1704690466556698E-2</v>
      </c>
      <c r="AS80" s="8"/>
      <c r="AW80" s="33">
        <f t="shared" si="7"/>
        <v>17.125323495402235</v>
      </c>
      <c r="AX80" s="8"/>
    </row>
    <row r="81" spans="1:54" x14ac:dyDescent="0.25">
      <c r="A81" s="149">
        <v>43282</v>
      </c>
      <c r="B81" s="2">
        <v>19397</v>
      </c>
      <c r="C81" s="2">
        <v>410791</v>
      </c>
      <c r="D81" s="2">
        <v>19360</v>
      </c>
      <c r="E81" s="2">
        <v>383746</v>
      </c>
      <c r="F81" s="10">
        <f t="shared" si="14"/>
        <v>794537</v>
      </c>
      <c r="G81" s="10">
        <f t="shared" si="15"/>
        <v>38757</v>
      </c>
      <c r="H81" s="2"/>
      <c r="I81" s="2"/>
      <c r="J81" s="2"/>
      <c r="K81" s="2"/>
      <c r="L81" s="2"/>
      <c r="M81" s="13">
        <v>19397</v>
      </c>
      <c r="N81" s="10">
        <v>410791</v>
      </c>
      <c r="O81" s="10">
        <v>19360</v>
      </c>
      <c r="P81" s="10">
        <v>383746</v>
      </c>
      <c r="Q81" s="10">
        <f t="shared" si="10"/>
        <v>794537</v>
      </c>
      <c r="R81" s="10">
        <f t="shared" si="11"/>
        <v>38757</v>
      </c>
      <c r="S81" s="8"/>
      <c r="T81" s="8"/>
      <c r="U81" s="8"/>
      <c r="V81" s="8"/>
      <c r="W81" s="14">
        <f>Q81/S86</f>
        <v>9.4895493217408172E-2</v>
      </c>
      <c r="X81" s="9">
        <f t="shared" si="12"/>
        <v>1.070476304639006</v>
      </c>
      <c r="Y81" s="8"/>
      <c r="Z81" s="8"/>
      <c r="AA81" s="8"/>
      <c r="AB81" s="8"/>
      <c r="AC81" s="14">
        <f>R81/Y86</f>
        <v>8.5315975310163869E-2</v>
      </c>
      <c r="AD81" s="9">
        <f t="shared" si="13"/>
        <v>1.0019111570247934</v>
      </c>
      <c r="AE81" s="8"/>
      <c r="AF81" s="8"/>
      <c r="AG81" s="8"/>
      <c r="AH81" s="8"/>
      <c r="AI81" s="8"/>
      <c r="AJ81" s="8"/>
      <c r="AK81" s="8"/>
      <c r="AL81" s="8"/>
      <c r="AM81" s="8"/>
      <c r="AN81" s="8"/>
      <c r="AR81" s="14">
        <f>N81/AN86</f>
        <v>9.470871475291158E-2</v>
      </c>
      <c r="AS81" s="8"/>
      <c r="AW81" s="33">
        <f t="shared" si="7"/>
        <v>21.17806877352168</v>
      </c>
      <c r="AX81" s="8"/>
    </row>
    <row r="82" spans="1:54" x14ac:dyDescent="0.25">
      <c r="A82" s="149">
        <v>43313</v>
      </c>
      <c r="B82" s="2">
        <v>18933</v>
      </c>
      <c r="C82" s="2">
        <v>332367</v>
      </c>
      <c r="D82" s="2">
        <v>18806</v>
      </c>
      <c r="E82" s="2">
        <v>320650</v>
      </c>
      <c r="F82" s="10">
        <f t="shared" si="14"/>
        <v>653017</v>
      </c>
      <c r="G82" s="10">
        <f t="shared" si="15"/>
        <v>37739</v>
      </c>
      <c r="H82" s="2"/>
      <c r="I82" s="2"/>
      <c r="J82" s="2"/>
      <c r="K82" s="2"/>
      <c r="L82" s="2"/>
      <c r="M82" s="13">
        <v>18933</v>
      </c>
      <c r="N82" s="10">
        <v>332367</v>
      </c>
      <c r="O82" s="10">
        <v>18806</v>
      </c>
      <c r="P82" s="10">
        <v>320650</v>
      </c>
      <c r="Q82" s="10">
        <f t="shared" si="10"/>
        <v>653017</v>
      </c>
      <c r="R82" s="10">
        <f t="shared" si="11"/>
        <v>37739</v>
      </c>
      <c r="S82" s="8"/>
      <c r="T82" s="8"/>
      <c r="U82" s="8"/>
      <c r="V82" s="8"/>
      <c r="W82" s="14">
        <f>Q82/S86</f>
        <v>7.7993057962501722E-2</v>
      </c>
      <c r="X82" s="9">
        <f t="shared" si="12"/>
        <v>1.0365414002806799</v>
      </c>
      <c r="Y82" s="8"/>
      <c r="Z82" s="8"/>
      <c r="AA82" s="8"/>
      <c r="AB82" s="8"/>
      <c r="AC82" s="14">
        <f>R82/Y86</f>
        <v>8.3075046887795087E-2</v>
      </c>
      <c r="AD82" s="9">
        <f t="shared" si="13"/>
        <v>1.0067531638838669</v>
      </c>
      <c r="AE82" s="8"/>
      <c r="AF82" s="8"/>
      <c r="AG82" s="8"/>
      <c r="AH82" s="8"/>
      <c r="AI82" s="8"/>
      <c r="AJ82" s="8"/>
      <c r="AK82" s="8"/>
      <c r="AL82" s="8"/>
      <c r="AM82" s="8"/>
      <c r="AN82" s="8"/>
      <c r="AR82" s="14">
        <f>N82/AN86</f>
        <v>7.6627899336355873E-2</v>
      </c>
      <c r="AS82" s="8"/>
      <c r="AW82" s="33">
        <f t="shared" si="7"/>
        <v>17.554904135636189</v>
      </c>
      <c r="AX82" s="8"/>
    </row>
    <row r="83" spans="1:54" x14ac:dyDescent="0.25">
      <c r="A83" s="149">
        <v>43344</v>
      </c>
      <c r="B83" s="2">
        <v>18625</v>
      </c>
      <c r="C83" s="2">
        <v>351410</v>
      </c>
      <c r="D83" s="2">
        <v>18553</v>
      </c>
      <c r="E83" s="2">
        <v>329959</v>
      </c>
      <c r="F83" s="10">
        <f t="shared" si="14"/>
        <v>681369</v>
      </c>
      <c r="G83" s="10">
        <f t="shared" si="15"/>
        <v>37178</v>
      </c>
      <c r="H83" s="2"/>
      <c r="I83" s="2"/>
      <c r="J83" s="2"/>
      <c r="K83" s="2"/>
      <c r="L83" s="2"/>
      <c r="M83" s="13">
        <v>18625</v>
      </c>
      <c r="N83" s="10">
        <v>351410</v>
      </c>
      <c r="O83" s="10">
        <v>18553</v>
      </c>
      <c r="P83" s="10">
        <v>329959</v>
      </c>
      <c r="Q83" s="10">
        <f t="shared" si="10"/>
        <v>681369</v>
      </c>
      <c r="R83" s="10">
        <f>M83+O83</f>
        <v>37178</v>
      </c>
      <c r="S83" s="8"/>
      <c r="T83" s="8"/>
      <c r="U83" s="8"/>
      <c r="V83" s="8"/>
      <c r="W83" s="14">
        <f>Q83/S86</f>
        <v>8.1379277891466581E-2</v>
      </c>
      <c r="X83" s="9">
        <f t="shared" si="12"/>
        <v>1.0650111074406214</v>
      </c>
      <c r="Y83" s="8"/>
      <c r="Z83" s="8"/>
      <c r="AA83" s="8"/>
      <c r="AB83" s="8"/>
      <c r="AC83" s="14">
        <f>R83/Y86</f>
        <v>8.1840114820065341E-2</v>
      </c>
      <c r="AD83" s="9">
        <f t="shared" si="13"/>
        <v>1.0038807739988143</v>
      </c>
      <c r="AE83" s="8"/>
      <c r="AF83" s="8"/>
      <c r="AG83" s="8"/>
      <c r="AH83" s="8"/>
      <c r="AI83" s="8"/>
      <c r="AJ83" s="8"/>
      <c r="AK83" s="8"/>
      <c r="AL83" s="8"/>
      <c r="AM83" s="8"/>
      <c r="AN83" s="8"/>
      <c r="AR83" s="14">
        <f>N83/AN86</f>
        <v>8.1018302375954337E-2</v>
      </c>
      <c r="AS83" s="8"/>
      <c r="AW83" s="33">
        <f t="shared" si="7"/>
        <v>18.867651006711409</v>
      </c>
      <c r="AX83" s="8"/>
    </row>
    <row r="84" spans="1:54" x14ac:dyDescent="0.25">
      <c r="A84" s="149">
        <v>43374</v>
      </c>
      <c r="B84" s="2">
        <v>19372</v>
      </c>
      <c r="C84" s="2">
        <v>370971</v>
      </c>
      <c r="D84" s="2">
        <v>19320</v>
      </c>
      <c r="E84" s="2">
        <v>349946</v>
      </c>
      <c r="F84" s="10">
        <f t="shared" si="14"/>
        <v>720917</v>
      </c>
      <c r="G84" s="10">
        <f t="shared" si="15"/>
        <v>38692</v>
      </c>
      <c r="H84" s="2"/>
      <c r="I84" s="2"/>
      <c r="J84" s="2"/>
      <c r="K84" s="2"/>
      <c r="L84" s="2"/>
      <c r="M84" s="13">
        <v>19372</v>
      </c>
      <c r="N84" s="10">
        <v>370971</v>
      </c>
      <c r="O84" s="10">
        <v>19320</v>
      </c>
      <c r="P84" s="10">
        <v>349946</v>
      </c>
      <c r="Q84" s="10">
        <f t="shared" si="10"/>
        <v>720917</v>
      </c>
      <c r="R84" s="10">
        <f t="shared" si="11"/>
        <v>38692</v>
      </c>
      <c r="S84" s="8"/>
      <c r="T84" s="8"/>
      <c r="U84" s="8"/>
      <c r="V84" s="8"/>
      <c r="W84" s="14">
        <f>Q84/S86</f>
        <v>8.6102691610100285E-2</v>
      </c>
      <c r="X84" s="9">
        <f t="shared" si="12"/>
        <v>1.0600806981648596</v>
      </c>
      <c r="Y84" s="8"/>
      <c r="Z84" s="8"/>
      <c r="AA84" s="8"/>
      <c r="AB84" s="8"/>
      <c r="AC84" s="14">
        <f>R84/Y86</f>
        <v>8.5172890489482164E-2</v>
      </c>
      <c r="AD84" s="9">
        <f t="shared" si="13"/>
        <v>1.0026915113871635</v>
      </c>
      <c r="AE84" s="8"/>
      <c r="AF84" s="8"/>
      <c r="AG84" s="8"/>
      <c r="AH84" s="8"/>
      <c r="AI84" s="8"/>
      <c r="AJ84" s="8"/>
      <c r="AK84" s="8"/>
      <c r="AL84" s="8"/>
      <c r="AM84" s="8"/>
      <c r="AN84" s="8"/>
      <c r="AR84" s="14">
        <f>N84/AN86</f>
        <v>8.5528131387012776E-2</v>
      </c>
      <c r="AS84" s="8"/>
      <c r="AW84" s="33">
        <f t="shared" si="7"/>
        <v>19.149855461490812</v>
      </c>
      <c r="AX84" s="8"/>
    </row>
    <row r="85" spans="1:54" x14ac:dyDescent="0.25">
      <c r="A85" s="149">
        <v>43405</v>
      </c>
      <c r="B85" s="2">
        <v>18984</v>
      </c>
      <c r="C85" s="2">
        <v>389519</v>
      </c>
      <c r="D85" s="2">
        <v>18267</v>
      </c>
      <c r="E85" s="2">
        <v>317537</v>
      </c>
      <c r="F85" s="10">
        <f t="shared" si="14"/>
        <v>707056</v>
      </c>
      <c r="G85" s="10">
        <f t="shared" si="15"/>
        <v>37251</v>
      </c>
      <c r="H85" s="2"/>
      <c r="I85" s="2"/>
      <c r="J85" s="2"/>
      <c r="K85" s="2"/>
      <c r="L85" s="2"/>
      <c r="M85" s="13">
        <v>18984</v>
      </c>
      <c r="N85" s="10">
        <v>389519</v>
      </c>
      <c r="O85" s="10">
        <v>18267</v>
      </c>
      <c r="P85" s="10">
        <v>317537</v>
      </c>
      <c r="Q85" s="10">
        <f t="shared" si="10"/>
        <v>707056</v>
      </c>
      <c r="R85" s="10">
        <f t="shared" si="11"/>
        <v>37251</v>
      </c>
      <c r="S85" s="8"/>
      <c r="T85" s="8"/>
      <c r="U85" s="8"/>
      <c r="V85" s="8"/>
      <c r="W85" s="14">
        <f>Q85/S86</f>
        <v>8.4447203657385062E-2</v>
      </c>
      <c r="X85" s="9">
        <f t="shared" si="12"/>
        <v>1.226688543382346</v>
      </c>
      <c r="Y85" s="8"/>
      <c r="Z85" s="8"/>
      <c r="AA85" s="8"/>
      <c r="AB85" s="8"/>
      <c r="AC85" s="14">
        <f>R85/Y86</f>
        <v>8.200081008021555E-2</v>
      </c>
      <c r="AD85" s="9">
        <f t="shared" si="13"/>
        <v>1.0392511085564131</v>
      </c>
      <c r="AE85" s="8"/>
      <c r="AF85" s="8"/>
      <c r="AG85" s="8"/>
      <c r="AH85" s="8"/>
      <c r="AI85" s="8"/>
      <c r="AJ85" s="8"/>
      <c r="AK85" s="8"/>
      <c r="AL85" s="8"/>
      <c r="AM85" s="8"/>
      <c r="AN85" s="8"/>
      <c r="AR85" s="14">
        <f>N85/AN86</f>
        <v>8.9804411152725763E-2</v>
      </c>
      <c r="AS85" s="8"/>
      <c r="AW85" s="33">
        <f t="shared" si="7"/>
        <v>20.518278550358197</v>
      </c>
      <c r="AX85" s="8"/>
    </row>
    <row r="86" spans="1:54" x14ac:dyDescent="0.25">
      <c r="A86" s="149">
        <v>43435</v>
      </c>
      <c r="B86" s="2">
        <v>20070</v>
      </c>
      <c r="C86" s="2">
        <v>450738</v>
      </c>
      <c r="D86" s="2">
        <v>19509</v>
      </c>
      <c r="E86" s="2">
        <v>391770</v>
      </c>
      <c r="F86" s="10">
        <f t="shared" si="14"/>
        <v>842508</v>
      </c>
      <c r="G86" s="10">
        <f t="shared" si="15"/>
        <v>39579</v>
      </c>
      <c r="H86" s="11">
        <f>SUM(F75:F86)</f>
        <v>8372758</v>
      </c>
      <c r="I86" s="11">
        <f>AVERAGE(F75:F86)</f>
        <v>697729.83333333337</v>
      </c>
      <c r="J86" s="11">
        <f>H86/365</f>
        <v>22939.063013698629</v>
      </c>
      <c r="K86" s="15">
        <f>(J86-J74)/J74</f>
        <v>4.3069566017946474E-2</v>
      </c>
      <c r="L86" s="2"/>
      <c r="M86" s="13">
        <v>20070</v>
      </c>
      <c r="N86" s="10">
        <v>450738</v>
      </c>
      <c r="O86" s="10">
        <v>19509</v>
      </c>
      <c r="P86" s="10">
        <v>391770</v>
      </c>
      <c r="Q86" s="10">
        <f t="shared" si="10"/>
        <v>842508</v>
      </c>
      <c r="R86" s="10">
        <f t="shared" si="11"/>
        <v>39579</v>
      </c>
      <c r="S86" s="11">
        <f>SUM(Q75:Q86)</f>
        <v>8372758</v>
      </c>
      <c r="T86" s="11">
        <f>AVERAGE(Q75:Q86)</f>
        <v>697729.83333333337</v>
      </c>
      <c r="U86" s="11">
        <f>S86/365</f>
        <v>22939.063013698629</v>
      </c>
      <c r="V86" s="15">
        <f>(U86-U74)/U74</f>
        <v>7.6777080768202832E-2</v>
      </c>
      <c r="W86" s="14">
        <f>Q86/S86</f>
        <v>0.10062490758720126</v>
      </c>
      <c r="X86" s="9">
        <f t="shared" si="12"/>
        <v>1.1505168849069607</v>
      </c>
      <c r="Y86" s="11">
        <f>SUM(R75:R86)</f>
        <v>454276</v>
      </c>
      <c r="Z86" s="11">
        <f>Y86/12</f>
        <v>37856.333333333336</v>
      </c>
      <c r="AA86" s="11">
        <f>Y86/365</f>
        <v>1244.5917808219178</v>
      </c>
      <c r="AB86" s="15">
        <f>(AA86-AA74)/AA74</f>
        <v>-1.5354603780128293E-2</v>
      </c>
      <c r="AC86" s="14">
        <f>R86/Y86</f>
        <v>8.7125447965553979E-2</v>
      </c>
      <c r="AD86" s="9">
        <f t="shared" si="13"/>
        <v>1.0287559587882515</v>
      </c>
      <c r="AE86" s="11">
        <f>SUM(M75:M86)</f>
        <v>228374</v>
      </c>
      <c r="AF86" s="11">
        <f>AE86/12</f>
        <v>19031.166666666668</v>
      </c>
      <c r="AG86" s="11">
        <f>AE86/365</f>
        <v>625.68219178082188</v>
      </c>
      <c r="AH86" s="15">
        <f>AE86/Y86</f>
        <v>0.50272081289788584</v>
      </c>
      <c r="AI86" s="8"/>
      <c r="AJ86" s="11">
        <f>SUM(O75:O86)</f>
        <v>225902</v>
      </c>
      <c r="AK86" s="11">
        <f>AJ86/12</f>
        <v>18825.166666666668</v>
      </c>
      <c r="AL86" s="11">
        <f>AJ86/365</f>
        <v>618.90958904109584</v>
      </c>
      <c r="AM86" s="15">
        <f>AJ86/Y86</f>
        <v>0.49727918710211411</v>
      </c>
      <c r="AN86" s="11">
        <f>SUM(N75:N86)</f>
        <v>4337415</v>
      </c>
      <c r="AO86" s="11">
        <f>AN86/12</f>
        <v>361451.25</v>
      </c>
      <c r="AP86" s="11">
        <f>AN86/365</f>
        <v>11883.328767123288</v>
      </c>
      <c r="AQ86" s="15">
        <f>AN86/S86</f>
        <v>0.51803897831515011</v>
      </c>
      <c r="AR86" s="14">
        <f>N86/AN86</f>
        <v>0.10391857823150424</v>
      </c>
      <c r="AS86" s="11">
        <f>SUM(P75:P86)</f>
        <v>4035343</v>
      </c>
      <c r="AT86" s="11">
        <f>AS86/12</f>
        <v>336278.58333333331</v>
      </c>
      <c r="AU86" s="11">
        <f>AS86/365</f>
        <v>11055.734246575343</v>
      </c>
      <c r="AV86" s="15">
        <f>AS86/S86</f>
        <v>0.48196102168484983</v>
      </c>
      <c r="AW86" s="33">
        <f t="shared" si="7"/>
        <v>22.458295964125561</v>
      </c>
      <c r="AX86" s="11">
        <f>S86/AE86</f>
        <v>36.6624834700973</v>
      </c>
      <c r="AY86" s="11">
        <f>AX86/12</f>
        <v>3.0552069558414416</v>
      </c>
      <c r="AZ86" s="11">
        <f>AX86/365</f>
        <v>0.1004451601920474</v>
      </c>
      <c r="BA86" s="15">
        <f>AX86/W86</f>
        <v>364.34799642748192</v>
      </c>
      <c r="BB86" s="15"/>
    </row>
    <row r="87" spans="1:54" x14ac:dyDescent="0.25">
      <c r="A87" s="149">
        <v>43466</v>
      </c>
      <c r="B87" s="2">
        <v>19756</v>
      </c>
      <c r="C87" s="2">
        <v>428711</v>
      </c>
      <c r="D87" s="2">
        <v>19922</v>
      </c>
      <c r="E87" s="2">
        <v>438285</v>
      </c>
      <c r="F87" s="10">
        <f t="shared" si="14"/>
        <v>866996</v>
      </c>
      <c r="G87" s="10">
        <f t="shared" si="15"/>
        <v>39678</v>
      </c>
      <c r="H87" s="2"/>
      <c r="I87" s="2"/>
      <c r="J87" s="2"/>
      <c r="K87" s="2"/>
      <c r="L87" s="2"/>
      <c r="M87" s="13">
        <v>19756</v>
      </c>
      <c r="N87" s="10">
        <v>428711</v>
      </c>
      <c r="O87" s="10">
        <v>19922</v>
      </c>
      <c r="P87" s="10">
        <v>438285</v>
      </c>
      <c r="Q87" s="10">
        <f t="shared" si="10"/>
        <v>866996</v>
      </c>
      <c r="R87" s="10">
        <f t="shared" si="11"/>
        <v>39678</v>
      </c>
      <c r="S87" s="8"/>
      <c r="T87" s="8"/>
      <c r="U87" s="8"/>
      <c r="V87" s="8"/>
      <c r="W87" s="14">
        <f>Q87/S98</f>
        <v>0.10058737730487699</v>
      </c>
      <c r="X87" s="9">
        <f t="shared" si="12"/>
        <v>0.97815576622517308</v>
      </c>
      <c r="Y87" s="8"/>
      <c r="Z87" s="8"/>
      <c r="AA87" s="8"/>
      <c r="AB87" s="8"/>
      <c r="AC87" s="14">
        <f>R87/Y98</f>
        <v>8.6794838421776807E-2</v>
      </c>
      <c r="AD87" s="9">
        <f>M87/O87</f>
        <v>0.99166750326272468</v>
      </c>
      <c r="AE87" s="8"/>
      <c r="AF87" s="8"/>
      <c r="AG87" s="8"/>
      <c r="AH87" s="8"/>
      <c r="AI87" s="8"/>
      <c r="AJ87" s="8"/>
      <c r="AK87" s="8"/>
      <c r="AL87" s="8"/>
      <c r="AM87" s="8"/>
      <c r="AN87" s="8"/>
      <c r="AR87" s="14">
        <f>N87/AN98</f>
        <v>9.606590305906143E-2</v>
      </c>
      <c r="AS87" s="8"/>
      <c r="AW87" s="33">
        <f t="shared" si="7"/>
        <v>21.700293581696698</v>
      </c>
      <c r="AX87" s="8"/>
    </row>
    <row r="88" spans="1:54" x14ac:dyDescent="0.25">
      <c r="A88" s="149">
        <v>43497</v>
      </c>
      <c r="B88" s="2">
        <v>17332</v>
      </c>
      <c r="C88" s="2">
        <v>339747</v>
      </c>
      <c r="D88" s="2">
        <v>17164</v>
      </c>
      <c r="E88" s="2">
        <v>326157</v>
      </c>
      <c r="F88" s="10">
        <f t="shared" si="14"/>
        <v>665904</v>
      </c>
      <c r="G88" s="10">
        <f t="shared" si="15"/>
        <v>34496</v>
      </c>
      <c r="H88" s="2"/>
      <c r="I88" s="2"/>
      <c r="J88" s="2"/>
      <c r="K88" s="2"/>
      <c r="L88" s="2"/>
      <c r="M88" s="13">
        <v>17332</v>
      </c>
      <c r="N88" s="10">
        <v>339747</v>
      </c>
      <c r="O88" s="10">
        <v>17164</v>
      </c>
      <c r="P88" s="10">
        <v>326157</v>
      </c>
      <c r="Q88" s="10">
        <f t="shared" si="10"/>
        <v>665904</v>
      </c>
      <c r="R88" s="10">
        <f t="shared" si="11"/>
        <v>34496</v>
      </c>
      <c r="S88" s="8"/>
      <c r="T88" s="8"/>
      <c r="U88" s="8"/>
      <c r="V88" s="8"/>
      <c r="W88" s="14">
        <f>Q88/S98</f>
        <v>7.7257031055306832E-2</v>
      </c>
      <c r="X88" s="9">
        <f t="shared" si="12"/>
        <v>1.0416670499176777</v>
      </c>
      <c r="Y88" s="8"/>
      <c r="Z88" s="8"/>
      <c r="AA88" s="8"/>
      <c r="AB88" s="8"/>
      <c r="AC88" s="14">
        <f>R88/Y98</f>
        <v>7.5459316149947386E-2</v>
      </c>
      <c r="AD88" s="9">
        <f t="shared" si="13"/>
        <v>1.0097879282218598</v>
      </c>
      <c r="AE88" s="8"/>
      <c r="AF88" s="8"/>
      <c r="AG88" s="8"/>
      <c r="AH88" s="8"/>
      <c r="AI88" s="8"/>
      <c r="AJ88" s="8"/>
      <c r="AK88" s="8"/>
      <c r="AL88" s="8"/>
      <c r="AM88" s="8"/>
      <c r="AN88" s="8"/>
      <c r="AR88" s="14">
        <f>N88/AN98</f>
        <v>7.6130778931744095E-2</v>
      </c>
      <c r="AS88" s="8"/>
      <c r="AW88" s="33">
        <f t="shared" si="7"/>
        <v>19.602296330486961</v>
      </c>
      <c r="AX88" s="8"/>
    </row>
    <row r="89" spans="1:54" x14ac:dyDescent="0.25">
      <c r="A89" s="149">
        <v>43525</v>
      </c>
      <c r="B89" s="2">
        <v>19614</v>
      </c>
      <c r="C89" s="2">
        <v>353052</v>
      </c>
      <c r="D89" s="2">
        <v>19317</v>
      </c>
      <c r="E89" s="2">
        <v>341619</v>
      </c>
      <c r="F89" s="10">
        <f t="shared" si="14"/>
        <v>694671</v>
      </c>
      <c r="G89" s="10">
        <f t="shared" si="15"/>
        <v>38931</v>
      </c>
      <c r="H89" s="2"/>
      <c r="I89" s="2"/>
      <c r="J89" s="2"/>
      <c r="K89" s="2"/>
      <c r="L89" s="2"/>
      <c r="M89" s="13">
        <v>19614</v>
      </c>
      <c r="N89" s="10">
        <v>353052</v>
      </c>
      <c r="O89" s="10">
        <v>19317</v>
      </c>
      <c r="P89" s="10">
        <v>341619</v>
      </c>
      <c r="Q89" s="10">
        <f t="shared" si="10"/>
        <v>694671</v>
      </c>
      <c r="R89" s="10">
        <f t="shared" si="11"/>
        <v>38931</v>
      </c>
      <c r="S89" s="8"/>
      <c r="T89" s="8"/>
      <c r="U89" s="8"/>
      <c r="V89" s="8"/>
      <c r="W89" s="14">
        <f>Q89/S98</f>
        <v>8.0594528671131357E-2</v>
      </c>
      <c r="X89" s="9">
        <f t="shared" si="12"/>
        <v>1.0334671080941049</v>
      </c>
      <c r="Y89" s="8"/>
      <c r="Z89" s="8"/>
      <c r="AA89" s="8"/>
      <c r="AB89" s="8"/>
      <c r="AC89" s="14">
        <f>R89/Y98</f>
        <v>8.5160790730334002E-2</v>
      </c>
      <c r="AD89" s="9">
        <f t="shared" si="13"/>
        <v>1.015375058238857</v>
      </c>
      <c r="AE89" s="8"/>
      <c r="AF89" s="8"/>
      <c r="AG89" s="8"/>
      <c r="AH89" s="8"/>
      <c r="AI89" s="8"/>
      <c r="AJ89" s="8"/>
      <c r="AK89" s="8"/>
      <c r="AL89" s="8"/>
      <c r="AM89" s="8"/>
      <c r="AN89" s="8"/>
      <c r="AR89" s="14">
        <f>N89/AN98</f>
        <v>7.9112173951234641E-2</v>
      </c>
      <c r="AS89" s="8"/>
      <c r="AW89" s="33">
        <f t="shared" si="7"/>
        <v>18</v>
      </c>
      <c r="AX89" s="8"/>
    </row>
    <row r="90" spans="1:54" x14ac:dyDescent="0.25">
      <c r="A90" s="149">
        <v>43556</v>
      </c>
      <c r="B90" s="2">
        <v>18745</v>
      </c>
      <c r="C90" s="2">
        <v>335437</v>
      </c>
      <c r="D90" s="2">
        <v>18604</v>
      </c>
      <c r="E90" s="2">
        <v>321529</v>
      </c>
      <c r="F90" s="10">
        <f t="shared" si="14"/>
        <v>656966</v>
      </c>
      <c r="G90" s="10">
        <f t="shared" si="15"/>
        <v>37349</v>
      </c>
      <c r="H90" s="2"/>
      <c r="I90" s="2"/>
      <c r="J90" s="2"/>
      <c r="K90" s="2"/>
      <c r="L90" s="2"/>
      <c r="M90" s="13">
        <v>18745</v>
      </c>
      <c r="N90" s="10">
        <v>335437</v>
      </c>
      <c r="O90" s="10">
        <v>18604</v>
      </c>
      <c r="P90" s="10">
        <v>321529</v>
      </c>
      <c r="Q90" s="10">
        <f t="shared" si="10"/>
        <v>656966</v>
      </c>
      <c r="R90" s="10">
        <f t="shared" si="11"/>
        <v>37349</v>
      </c>
      <c r="S90" s="8"/>
      <c r="T90" s="8"/>
      <c r="U90" s="8"/>
      <c r="V90" s="8"/>
      <c r="W90" s="14">
        <f>Q90/S98</f>
        <v>7.6220059744769086E-2</v>
      </c>
      <c r="X90" s="9">
        <f t="shared" si="12"/>
        <v>1.0432558182932177</v>
      </c>
      <c r="Y90" s="8"/>
      <c r="Z90" s="8"/>
      <c r="AA90" s="8"/>
      <c r="AB90" s="8"/>
      <c r="AC90" s="14">
        <f>R90/Y98</f>
        <v>8.1700197091963855E-2</v>
      </c>
      <c r="AD90" s="9">
        <f t="shared" si="13"/>
        <v>1.0075790152655344</v>
      </c>
      <c r="AE90" s="8"/>
      <c r="AF90" s="8"/>
      <c r="AG90" s="8"/>
      <c r="AH90" s="8"/>
      <c r="AI90" s="8"/>
      <c r="AJ90" s="8"/>
      <c r="AK90" s="8"/>
      <c r="AL90" s="8"/>
      <c r="AM90" s="8"/>
      <c r="AN90" s="8"/>
      <c r="AR90" s="14">
        <f>N90/AN98</f>
        <v>7.5164990691683642E-2</v>
      </c>
      <c r="AS90" s="8"/>
      <c r="AW90" s="33">
        <f t="shared" si="7"/>
        <v>17.894745265404108</v>
      </c>
      <c r="AX90" s="8"/>
    </row>
    <row r="91" spans="1:54" x14ac:dyDescent="0.25">
      <c r="A91" s="149">
        <v>43586</v>
      </c>
      <c r="B91" s="2">
        <v>18868</v>
      </c>
      <c r="C91" s="2">
        <v>331305</v>
      </c>
      <c r="D91" s="2">
        <v>18732</v>
      </c>
      <c r="E91" s="2">
        <v>307118</v>
      </c>
      <c r="F91" s="10">
        <f t="shared" si="14"/>
        <v>638423</v>
      </c>
      <c r="G91" s="10">
        <f t="shared" si="15"/>
        <v>37600</v>
      </c>
      <c r="H91" s="2"/>
      <c r="I91" s="2"/>
      <c r="J91" s="2"/>
      <c r="K91" s="2"/>
      <c r="L91" s="2"/>
      <c r="M91" s="13">
        <v>18868</v>
      </c>
      <c r="N91" s="10">
        <v>331305</v>
      </c>
      <c r="O91" s="10">
        <v>18732</v>
      </c>
      <c r="P91" s="10">
        <v>307118</v>
      </c>
      <c r="Q91" s="10">
        <f t="shared" si="10"/>
        <v>638423</v>
      </c>
      <c r="R91" s="10">
        <f t="shared" si="11"/>
        <v>37600</v>
      </c>
      <c r="S91" s="8"/>
      <c r="T91" s="8"/>
      <c r="U91" s="8"/>
      <c r="V91" s="8"/>
      <c r="W91" s="14">
        <f>Q91/S98</f>
        <v>7.4068732936612716E-2</v>
      </c>
      <c r="X91" s="9">
        <f t="shared" si="12"/>
        <v>1.0787547457329105</v>
      </c>
      <c r="Y91" s="8"/>
      <c r="Z91" s="8"/>
      <c r="AA91" s="8"/>
      <c r="AB91" s="8"/>
      <c r="AC91" s="14">
        <f>R91/Y98</f>
        <v>8.2249254616130044E-2</v>
      </c>
      <c r="AD91" s="9">
        <f t="shared" si="13"/>
        <v>1.0072603032244287</v>
      </c>
      <c r="AE91" s="8"/>
      <c r="AF91" s="8"/>
      <c r="AG91" s="8"/>
      <c r="AH91" s="8"/>
      <c r="AI91" s="8"/>
      <c r="AJ91" s="8"/>
      <c r="AK91" s="8"/>
      <c r="AL91" s="8"/>
      <c r="AM91" s="8"/>
      <c r="AN91" s="8"/>
      <c r="AR91" s="14">
        <f>N91/AN98</f>
        <v>7.4239088833695302E-2</v>
      </c>
      <c r="AS91" s="8"/>
      <c r="AW91" s="33">
        <f t="shared" si="7"/>
        <v>17.559094763620944</v>
      </c>
      <c r="AX91" s="8"/>
    </row>
    <row r="92" spans="1:54" x14ac:dyDescent="0.25">
      <c r="A92" s="149">
        <v>43617</v>
      </c>
      <c r="B92" s="2">
        <v>18420</v>
      </c>
      <c r="C92" s="2">
        <v>336256</v>
      </c>
      <c r="D92" s="2">
        <v>18247</v>
      </c>
      <c r="E92" s="2">
        <v>305988</v>
      </c>
      <c r="F92" s="10">
        <f t="shared" si="14"/>
        <v>642244</v>
      </c>
      <c r="G92" s="10">
        <f t="shared" si="15"/>
        <v>36667</v>
      </c>
      <c r="H92" s="2"/>
      <c r="I92" s="2"/>
      <c r="J92" s="2"/>
      <c r="K92" s="2"/>
      <c r="L92" s="2"/>
      <c r="M92" s="13">
        <v>18420</v>
      </c>
      <c r="N92" s="10">
        <v>336256</v>
      </c>
      <c r="O92" s="10">
        <v>18247</v>
      </c>
      <c r="P92" s="10">
        <v>305988</v>
      </c>
      <c r="Q92" s="10">
        <f t="shared" si="10"/>
        <v>642244</v>
      </c>
      <c r="R92" s="10">
        <f t="shared" si="11"/>
        <v>36667</v>
      </c>
      <c r="S92" s="8"/>
      <c r="T92" s="8"/>
      <c r="U92" s="8"/>
      <c r="V92" s="8"/>
      <c r="W92" s="14">
        <f>Q92/S98</f>
        <v>7.451203875195897E-2</v>
      </c>
      <c r="X92" s="9">
        <f t="shared" si="12"/>
        <v>1.0989189118527525</v>
      </c>
      <c r="Y92" s="8"/>
      <c r="Z92" s="8"/>
      <c r="AA92" s="8"/>
      <c r="AB92" s="8"/>
      <c r="AC92" s="14">
        <f>R92/Y98</f>
        <v>8.0208335611958517E-2</v>
      </c>
      <c r="AD92" s="9">
        <f t="shared" si="13"/>
        <v>1.0094810105770811</v>
      </c>
      <c r="AE92" s="8"/>
      <c r="AF92" s="8"/>
      <c r="AG92" s="8"/>
      <c r="AH92" s="8"/>
      <c r="AI92" s="8"/>
      <c r="AJ92" s="8"/>
      <c r="AK92" s="8"/>
      <c r="AL92" s="8"/>
      <c r="AM92" s="8"/>
      <c r="AN92" s="8"/>
      <c r="AR92" s="14">
        <f>N92/AN98</f>
        <v>7.5348512865374945E-2</v>
      </c>
      <c r="AS92" s="8"/>
      <c r="AW92" s="33">
        <f t="shared" si="7"/>
        <v>18.254940282301845</v>
      </c>
      <c r="AX92" s="8"/>
    </row>
    <row r="93" spans="1:54" x14ac:dyDescent="0.25">
      <c r="A93" s="149">
        <v>43647</v>
      </c>
      <c r="B93" s="2">
        <v>19872</v>
      </c>
      <c r="C93" s="2">
        <v>433771</v>
      </c>
      <c r="D93" s="2">
        <v>19411</v>
      </c>
      <c r="E93" s="2">
        <v>383909</v>
      </c>
      <c r="F93" s="10">
        <f t="shared" si="14"/>
        <v>817680</v>
      </c>
      <c r="G93" s="10">
        <f t="shared" si="15"/>
        <v>39283</v>
      </c>
      <c r="H93" s="2"/>
      <c r="I93" s="2"/>
      <c r="J93" s="2"/>
      <c r="K93" s="2"/>
      <c r="L93" s="2"/>
      <c r="M93" s="13">
        <v>19872</v>
      </c>
      <c r="N93" s="10">
        <v>433771</v>
      </c>
      <c r="O93" s="10">
        <v>19411</v>
      </c>
      <c r="P93" s="10">
        <v>383909</v>
      </c>
      <c r="Q93" s="10">
        <f t="shared" si="10"/>
        <v>817680</v>
      </c>
      <c r="R93" s="10">
        <f t="shared" si="11"/>
        <v>39283</v>
      </c>
      <c r="S93" s="8"/>
      <c r="T93" s="10">
        <f>Q93/26.4</f>
        <v>30972.727272727276</v>
      </c>
      <c r="U93" s="8"/>
      <c r="V93" s="8"/>
      <c r="W93" s="14">
        <f>Q93/S98</f>
        <v>9.4865820228296108E-2</v>
      </c>
      <c r="X93" s="9">
        <f t="shared" si="12"/>
        <v>1.1298797371252041</v>
      </c>
      <c r="Y93" s="8"/>
      <c r="Z93" s="8"/>
      <c r="AA93" s="8"/>
      <c r="AB93" s="8"/>
      <c r="AC93" s="14">
        <f>R93/Y98</f>
        <v>8.5930783752272241E-2</v>
      </c>
      <c r="AD93" s="9">
        <f t="shared" si="13"/>
        <v>1.0237494204317139</v>
      </c>
      <c r="AE93" s="8"/>
      <c r="AF93" s="8"/>
      <c r="AG93" s="8"/>
      <c r="AH93" s="8"/>
      <c r="AI93" s="8"/>
      <c r="AJ93" s="8"/>
      <c r="AK93" s="8"/>
      <c r="AL93" s="8"/>
      <c r="AM93" s="8"/>
      <c r="AN93" s="8"/>
      <c r="AR93" s="14">
        <f>N93/AN98</f>
        <v>9.7199751897740286E-2</v>
      </c>
      <c r="AS93" s="8"/>
      <c r="AW93" s="33">
        <f t="shared" si="7"/>
        <v>21.82825080515298</v>
      </c>
      <c r="AX93" s="8"/>
    </row>
    <row r="94" spans="1:54" x14ac:dyDescent="0.25">
      <c r="A94" s="149">
        <v>43678</v>
      </c>
      <c r="B94" s="2">
        <v>19264</v>
      </c>
      <c r="C94" s="2">
        <v>349899</v>
      </c>
      <c r="D94" s="2">
        <v>19067</v>
      </c>
      <c r="E94" s="2">
        <v>330883</v>
      </c>
      <c r="F94" s="10">
        <f t="shared" si="14"/>
        <v>680782</v>
      </c>
      <c r="G94" s="10">
        <f t="shared" si="15"/>
        <v>38331</v>
      </c>
      <c r="H94" s="2"/>
      <c r="I94" s="2"/>
      <c r="J94" s="2"/>
      <c r="K94" s="2"/>
      <c r="L94" s="2"/>
      <c r="M94" s="13">
        <v>19264</v>
      </c>
      <c r="N94" s="10">
        <v>349899</v>
      </c>
      <c r="O94" s="10">
        <v>19067</v>
      </c>
      <c r="P94" s="10">
        <v>330883</v>
      </c>
      <c r="Q94" s="10">
        <f t="shared" si="10"/>
        <v>680782</v>
      </c>
      <c r="R94" s="10">
        <f t="shared" si="11"/>
        <v>38331</v>
      </c>
      <c r="S94" s="8"/>
      <c r="T94" s="8"/>
      <c r="U94" s="8"/>
      <c r="V94" s="8"/>
      <c r="W94" s="14">
        <f>Q94/S98</f>
        <v>7.8983150898468704E-2</v>
      </c>
      <c r="X94" s="9">
        <f t="shared" si="12"/>
        <v>1.0574704653910898</v>
      </c>
      <c r="Y94" s="8"/>
      <c r="Z94" s="8"/>
      <c r="AA94" s="8"/>
      <c r="AB94" s="8"/>
      <c r="AC94" s="14">
        <f>R94/Y98</f>
        <v>8.3848302624757468E-2</v>
      </c>
      <c r="AD94" s="9">
        <f t="shared" si="13"/>
        <v>1.010331987203021</v>
      </c>
      <c r="AE94" s="8"/>
      <c r="AF94" s="8"/>
      <c r="AG94" s="8"/>
      <c r="AH94" s="8"/>
      <c r="AI94" s="8"/>
      <c r="AJ94" s="8"/>
      <c r="AK94" s="8"/>
      <c r="AL94" s="8"/>
      <c r="AM94" s="8"/>
      <c r="AN94" s="8"/>
      <c r="AR94" s="14">
        <f>N94/AN98</f>
        <v>7.8405647194642852E-2</v>
      </c>
      <c r="AS94" s="8"/>
      <c r="AW94" s="33">
        <f t="shared" si="7"/>
        <v>18.163361710963454</v>
      </c>
      <c r="AX94" s="8"/>
    </row>
    <row r="95" spans="1:54" x14ac:dyDescent="0.25">
      <c r="A95" s="149">
        <v>43709</v>
      </c>
      <c r="B95" s="2">
        <v>18679</v>
      </c>
      <c r="C95" s="2">
        <v>354901</v>
      </c>
      <c r="D95" s="2">
        <v>18602</v>
      </c>
      <c r="E95" s="2">
        <v>319179</v>
      </c>
      <c r="F95" s="10">
        <f t="shared" si="14"/>
        <v>674080</v>
      </c>
      <c r="G95" s="10">
        <f t="shared" si="15"/>
        <v>37281</v>
      </c>
      <c r="H95" s="2"/>
      <c r="I95" s="2"/>
      <c r="J95" s="2"/>
      <c r="K95" s="2"/>
      <c r="L95" s="2"/>
      <c r="M95" s="13">
        <v>18679</v>
      </c>
      <c r="N95" s="10">
        <v>354901</v>
      </c>
      <c r="O95" s="10">
        <v>18602</v>
      </c>
      <c r="P95" s="10">
        <v>319179</v>
      </c>
      <c r="Q95" s="10">
        <f t="shared" si="10"/>
        <v>674080</v>
      </c>
      <c r="R95" s="10">
        <f t="shared" si="11"/>
        <v>37281</v>
      </c>
      <c r="S95" s="8"/>
      <c r="T95" s="8"/>
      <c r="U95" s="8"/>
      <c r="V95" s="8"/>
      <c r="W95" s="14">
        <f>Q95/S98</f>
        <v>7.8205596442972605E-2</v>
      </c>
      <c r="X95" s="9">
        <f t="shared" si="12"/>
        <v>1.1119183906209369</v>
      </c>
      <c r="Y95" s="8"/>
      <c r="Z95" s="8"/>
      <c r="AA95" s="8"/>
      <c r="AB95" s="8"/>
      <c r="AC95" s="14">
        <f>R95/Y98</f>
        <v>8.1551448439998508E-2</v>
      </c>
      <c r="AD95" s="9">
        <f t="shared" si="13"/>
        <v>1.0041393398559295</v>
      </c>
      <c r="AE95" s="8"/>
      <c r="AF95" s="8"/>
      <c r="AG95" s="8"/>
      <c r="AH95" s="8"/>
      <c r="AI95" s="8"/>
      <c r="AJ95" s="8"/>
      <c r="AK95" s="8"/>
      <c r="AL95" s="8"/>
      <c r="AM95" s="8"/>
      <c r="AN95" s="8"/>
      <c r="AR95" s="14">
        <f>N95/AN98</f>
        <v>7.9526499347028559E-2</v>
      </c>
      <c r="AS95" s="8"/>
      <c r="AW95" s="33">
        <f t="shared" si="7"/>
        <v>19</v>
      </c>
      <c r="AX95" s="8"/>
    </row>
    <row r="96" spans="1:54" x14ac:dyDescent="0.25">
      <c r="A96" s="149">
        <v>43739</v>
      </c>
      <c r="B96" s="2">
        <v>19554</v>
      </c>
      <c r="C96" s="2">
        <v>401377</v>
      </c>
      <c r="D96" s="2">
        <v>19362</v>
      </c>
      <c r="E96" s="2">
        <v>352660</v>
      </c>
      <c r="F96" s="10">
        <f t="shared" si="14"/>
        <v>754037</v>
      </c>
      <c r="G96" s="10">
        <f t="shared" si="15"/>
        <v>38916</v>
      </c>
      <c r="H96" s="2"/>
      <c r="I96" s="2"/>
      <c r="J96" s="2"/>
      <c r="K96" s="2"/>
      <c r="L96" s="2"/>
      <c r="M96" s="13">
        <v>19554</v>
      </c>
      <c r="N96" s="10">
        <v>401377</v>
      </c>
      <c r="O96" s="10">
        <v>19362</v>
      </c>
      <c r="P96" s="10">
        <v>352660</v>
      </c>
      <c r="Q96" s="10">
        <f t="shared" si="10"/>
        <v>754037</v>
      </c>
      <c r="R96" s="10">
        <f t="shared" si="11"/>
        <v>38916</v>
      </c>
      <c r="S96" s="8"/>
      <c r="T96" s="8"/>
      <c r="U96" s="8"/>
      <c r="V96" s="8"/>
      <c r="W96" s="14">
        <f>Q96/S98</f>
        <v>8.7482069376141905E-2</v>
      </c>
      <c r="X96" s="9">
        <f t="shared" si="12"/>
        <v>1.1381415527703738</v>
      </c>
      <c r="Y96" s="8"/>
      <c r="Z96" s="8"/>
      <c r="AA96" s="8"/>
      <c r="AB96" s="8"/>
      <c r="AC96" s="14">
        <f>R96/Y98</f>
        <v>8.5127978527694589E-2</v>
      </c>
      <c r="AD96" s="9">
        <f t="shared" si="13"/>
        <v>1.0099163309575456</v>
      </c>
      <c r="AE96" s="8"/>
      <c r="AF96" s="8"/>
      <c r="AG96" s="8"/>
      <c r="AH96" s="8"/>
      <c r="AI96" s="8"/>
      <c r="AJ96" s="8"/>
      <c r="AK96" s="8"/>
      <c r="AL96" s="8"/>
      <c r="AM96" s="8"/>
      <c r="AN96" s="8"/>
      <c r="AR96" s="14">
        <f>N96/AN98</f>
        <v>8.9940878522214024E-2</v>
      </c>
      <c r="AS96" s="8"/>
      <c r="AW96" s="33">
        <f t="shared" si="7"/>
        <v>20.526593024445127</v>
      </c>
      <c r="AX96" s="8"/>
    </row>
    <row r="97" spans="1:54" x14ac:dyDescent="0.25">
      <c r="A97" s="149">
        <v>43770</v>
      </c>
      <c r="B97" s="2">
        <v>18859</v>
      </c>
      <c r="C97" s="2">
        <v>339980</v>
      </c>
      <c r="D97" s="2">
        <v>18721</v>
      </c>
      <c r="E97" s="2">
        <v>331027</v>
      </c>
      <c r="F97" s="10">
        <f t="shared" si="14"/>
        <v>671007</v>
      </c>
      <c r="G97" s="10">
        <f t="shared" si="15"/>
        <v>37580</v>
      </c>
      <c r="H97" s="2"/>
      <c r="I97" s="2"/>
      <c r="J97" s="2"/>
      <c r="K97" s="2"/>
      <c r="L97" s="2"/>
      <c r="M97" s="13">
        <v>18859</v>
      </c>
      <c r="N97" s="10">
        <v>339980</v>
      </c>
      <c r="O97" s="10">
        <v>18721</v>
      </c>
      <c r="P97" s="10">
        <v>331027</v>
      </c>
      <c r="Q97" s="10">
        <f t="shared" si="10"/>
        <v>671007</v>
      </c>
      <c r="R97" s="10">
        <f t="shared" si="11"/>
        <v>37580</v>
      </c>
      <c r="S97" s="8"/>
      <c r="T97" s="8"/>
      <c r="U97" s="8"/>
      <c r="V97" s="8"/>
      <c r="W97" s="14">
        <f>Q97/S98</f>
        <v>7.7849072294697549E-2</v>
      </c>
      <c r="X97" s="9">
        <f t="shared" si="12"/>
        <v>1.0270461321886131</v>
      </c>
      <c r="Y97" s="8"/>
      <c r="Z97" s="8"/>
      <c r="AA97" s="8"/>
      <c r="AB97" s="8"/>
      <c r="AC97" s="14">
        <f>R97/Y98</f>
        <v>8.2205505012610827E-2</v>
      </c>
      <c r="AD97" s="9">
        <f t="shared" si="13"/>
        <v>1.0073714011003685</v>
      </c>
      <c r="AE97" s="8"/>
      <c r="AF97" s="8"/>
      <c r="AG97" s="8"/>
      <c r="AH97" s="8"/>
      <c r="AI97" s="8"/>
      <c r="AJ97" s="8"/>
      <c r="AK97" s="8"/>
      <c r="AL97" s="8"/>
      <c r="AM97" s="8"/>
      <c r="AN97" s="8"/>
      <c r="AR97" s="14">
        <f>N97/AN98</f>
        <v>7.6182989757714883E-2</v>
      </c>
      <c r="AS97" s="8"/>
      <c r="AW97" s="33">
        <f t="shared" si="7"/>
        <v>18.027466991887163</v>
      </c>
      <c r="AX97" s="8"/>
    </row>
    <row r="98" spans="1:54" x14ac:dyDescent="0.25">
      <c r="A98" s="149">
        <v>43800</v>
      </c>
      <c r="B98" s="2">
        <v>20860</v>
      </c>
      <c r="C98" s="2">
        <v>458240</v>
      </c>
      <c r="D98" s="2">
        <v>20175</v>
      </c>
      <c r="E98" s="2">
        <v>398302</v>
      </c>
      <c r="F98" s="10">
        <f t="shared" si="14"/>
        <v>856542</v>
      </c>
      <c r="G98" s="10">
        <f t="shared" si="15"/>
        <v>41035</v>
      </c>
      <c r="H98" s="11">
        <f>SUM(F87:F98)</f>
        <v>8619332</v>
      </c>
      <c r="I98" s="11">
        <f>AVERAGE(F87:F98)</f>
        <v>718277.66666666663</v>
      </c>
      <c r="J98" s="11">
        <f>H98/365</f>
        <v>23614.608219178081</v>
      </c>
      <c r="K98" s="15">
        <f>(J98-J86)/J86</f>
        <v>2.9449555331707875E-2</v>
      </c>
      <c r="L98" s="2"/>
      <c r="M98" s="13">
        <v>20860</v>
      </c>
      <c r="N98" s="10">
        <v>458240</v>
      </c>
      <c r="O98" s="10">
        <v>20175</v>
      </c>
      <c r="P98" s="10">
        <v>398302</v>
      </c>
      <c r="Q98" s="10">
        <f t="shared" si="10"/>
        <v>856542</v>
      </c>
      <c r="R98" s="10">
        <f t="shared" si="11"/>
        <v>41035</v>
      </c>
      <c r="S98" s="11">
        <f>SUM(Q87:Q98)</f>
        <v>8619332</v>
      </c>
      <c r="T98" s="11">
        <f>AVERAGE(Q87:Q98)</f>
        <v>718277.66666666663</v>
      </c>
      <c r="U98" s="11">
        <f>S98/365</f>
        <v>23614.608219178081</v>
      </c>
      <c r="V98" s="15">
        <f>(U98-U86)/U86</f>
        <v>2.9449555331707875E-2</v>
      </c>
      <c r="W98" s="14">
        <f>Q98/S98</f>
        <v>9.9374522294767162E-2</v>
      </c>
      <c r="X98" s="9">
        <f t="shared" si="12"/>
        <v>1.1504838037469056</v>
      </c>
      <c r="Y98" s="11">
        <f>SUM(R87:R98)</f>
        <v>457147</v>
      </c>
      <c r="Z98" s="11">
        <f>Y98/12</f>
        <v>38095.583333333336</v>
      </c>
      <c r="AA98" s="11">
        <f>Y98/365</f>
        <v>1252.4575342465753</v>
      </c>
      <c r="AB98" s="15">
        <f>(AA98-AA86)/AA86</f>
        <v>6.3199464642639406E-3</v>
      </c>
      <c r="AC98" s="14">
        <f>R98/Y98</f>
        <v>8.9763249020555755E-2</v>
      </c>
      <c r="AD98" s="9">
        <f t="shared" si="13"/>
        <v>1.0339529120198265</v>
      </c>
      <c r="AE98" s="11">
        <f>SUM(M87:M98)</f>
        <v>229823</v>
      </c>
      <c r="AF98" s="11">
        <f>AE98/12</f>
        <v>19151.916666666668</v>
      </c>
      <c r="AG98" s="11">
        <f>AE98/365</f>
        <v>629.6520547945205</v>
      </c>
      <c r="AH98" s="15">
        <f>AE98/Y98</f>
        <v>0.50273325647986311</v>
      </c>
      <c r="AI98" s="8"/>
      <c r="AJ98" s="11">
        <f>SUM(O87:O98)</f>
        <v>227324</v>
      </c>
      <c r="AK98" s="11">
        <f>AJ98/12</f>
        <v>18943.666666666668</v>
      </c>
      <c r="AL98" s="11">
        <f>AJ98/365</f>
        <v>622.80547945205478</v>
      </c>
      <c r="AM98" s="15">
        <f>AJ98/Y98</f>
        <v>0.49726674352013683</v>
      </c>
      <c r="AN98" s="11">
        <f>SUM(N87:N98)</f>
        <v>4462676</v>
      </c>
      <c r="AO98" s="11">
        <f>AN98/12</f>
        <v>371889.66666666669</v>
      </c>
      <c r="AP98" s="11">
        <f>AN98/365</f>
        <v>12226.509589041096</v>
      </c>
      <c r="AQ98" s="15">
        <f>AN98/S98</f>
        <v>0.51775195572000243</v>
      </c>
      <c r="AR98" s="14">
        <f>N98/AN98</f>
        <v>0.10268278494786535</v>
      </c>
      <c r="AS98" s="11">
        <f>SUM(P87:P98)</f>
        <v>4156656</v>
      </c>
      <c r="AT98" s="11">
        <f>AS98/12</f>
        <v>346388</v>
      </c>
      <c r="AU98" s="11">
        <f>AS98/365</f>
        <v>11388.098630136987</v>
      </c>
      <c r="AV98" s="15">
        <f>AS98/S98</f>
        <v>0.48224804427999757</v>
      </c>
      <c r="AW98" s="33">
        <f t="shared" si="7"/>
        <v>21.967401725790989</v>
      </c>
      <c r="AX98" s="11">
        <f>S98/AE98</f>
        <v>37.504218463774293</v>
      </c>
      <c r="AY98" s="11">
        <f>AX98/12</f>
        <v>3.1253515386478576</v>
      </c>
      <c r="AZ98" s="11">
        <f>AX98/365</f>
        <v>0.10275128346239533</v>
      </c>
      <c r="BA98" s="15">
        <f>AX98/W98</f>
        <v>377.40275472749801</v>
      </c>
      <c r="BB98" s="15"/>
    </row>
    <row r="99" spans="1:54" x14ac:dyDescent="0.25">
      <c r="A99" s="149">
        <v>43831</v>
      </c>
      <c r="B99" s="2">
        <v>20435</v>
      </c>
      <c r="C99" s="2">
        <v>391197</v>
      </c>
      <c r="D99" s="2">
        <v>20635</v>
      </c>
      <c r="E99" s="2">
        <v>425738</v>
      </c>
      <c r="F99" s="10">
        <f t="shared" si="14"/>
        <v>816935</v>
      </c>
      <c r="G99" s="10">
        <f t="shared" si="15"/>
        <v>41070</v>
      </c>
      <c r="H99" s="2"/>
      <c r="I99" s="2"/>
      <c r="J99" s="2"/>
      <c r="K99" s="2"/>
      <c r="L99" s="2"/>
      <c r="M99" s="13">
        <v>20435</v>
      </c>
      <c r="N99" s="10">
        <v>391197</v>
      </c>
      <c r="O99" s="10">
        <v>20635</v>
      </c>
      <c r="P99" s="10">
        <v>425738</v>
      </c>
      <c r="Q99" s="10">
        <f t="shared" si="10"/>
        <v>816935</v>
      </c>
      <c r="R99" s="10">
        <f t="shared" si="11"/>
        <v>41070</v>
      </c>
      <c r="S99" s="8"/>
      <c r="T99" s="8"/>
      <c r="U99" s="8"/>
      <c r="V99" s="8"/>
      <c r="W99" s="14">
        <f>Q99/S110</f>
        <v>0.20471159804774294</v>
      </c>
      <c r="X99" s="9">
        <f t="shared" si="12"/>
        <v>0.91886794225556567</v>
      </c>
      <c r="Y99" s="21">
        <f t="shared" ref="Y99:Y109" si="16">R99/R87</f>
        <v>1.0350824134280963</v>
      </c>
      <c r="Z99" s="8"/>
      <c r="AA99" s="8"/>
      <c r="AB99" s="8"/>
      <c r="AC99" s="14">
        <f>R99/Y110</f>
        <v>0.16916271253459866</v>
      </c>
      <c r="AD99" s="9">
        <f>M99/O99</f>
        <v>0.99030772958565549</v>
      </c>
      <c r="AE99" s="8"/>
      <c r="AF99" s="8"/>
      <c r="AG99" s="8"/>
      <c r="AH99" s="8"/>
      <c r="AI99" s="8"/>
      <c r="AJ99" s="8"/>
      <c r="AK99" s="8"/>
      <c r="AL99" s="8"/>
      <c r="AM99" s="8"/>
      <c r="AN99" s="8"/>
      <c r="AR99" s="14">
        <f>N99/AN110</f>
        <v>0.19508017198304106</v>
      </c>
      <c r="AS99" s="8"/>
      <c r="AW99" s="33">
        <f t="shared" si="7"/>
        <v>19.143479324688034</v>
      </c>
      <c r="AX99" s="8"/>
    </row>
    <row r="100" spans="1:54" x14ac:dyDescent="0.25">
      <c r="A100" s="149">
        <v>43862</v>
      </c>
      <c r="B100" s="2">
        <v>18368</v>
      </c>
      <c r="C100" s="2">
        <v>332598</v>
      </c>
      <c r="D100" s="2">
        <v>18353</v>
      </c>
      <c r="E100" s="2">
        <v>327777</v>
      </c>
      <c r="F100" s="10">
        <f t="shared" si="14"/>
        <v>660375</v>
      </c>
      <c r="G100" s="10">
        <f t="shared" si="15"/>
        <v>36721</v>
      </c>
      <c r="H100" s="2"/>
      <c r="I100" s="2"/>
      <c r="J100" s="2"/>
      <c r="K100" s="2"/>
      <c r="L100" s="2"/>
      <c r="M100" s="13">
        <v>18368</v>
      </c>
      <c r="N100" s="10">
        <v>332598</v>
      </c>
      <c r="O100" s="10">
        <v>18353</v>
      </c>
      <c r="P100" s="10">
        <v>327777</v>
      </c>
      <c r="Q100" s="10">
        <f t="shared" si="10"/>
        <v>660375</v>
      </c>
      <c r="R100" s="10">
        <f t="shared" si="11"/>
        <v>36721</v>
      </c>
      <c r="S100" s="16">
        <f t="shared" ref="S100:S109" si="17">Q100/Q88</f>
        <v>0.99169700136956673</v>
      </c>
      <c r="T100" s="8"/>
      <c r="U100" s="8"/>
      <c r="V100" s="8"/>
      <c r="W100" s="14">
        <f>Q100/S110</f>
        <v>0.16548002174074833</v>
      </c>
      <c r="X100" s="9">
        <f t="shared" si="12"/>
        <v>1.0147081704939638</v>
      </c>
      <c r="Y100" s="21">
        <f t="shared" si="16"/>
        <v>1.0645002319109462</v>
      </c>
      <c r="Z100" s="8"/>
      <c r="AA100" s="8"/>
      <c r="AB100" s="8"/>
      <c r="AC100" s="14">
        <f>R100/Y110</f>
        <v>0.15124967048899432</v>
      </c>
      <c r="AD100" s="9">
        <f t="shared" si="13"/>
        <v>1.0008173050727402</v>
      </c>
      <c r="AE100" s="8"/>
      <c r="AF100" s="8"/>
      <c r="AG100" s="8"/>
      <c r="AH100" s="8"/>
      <c r="AI100" s="8"/>
      <c r="AJ100" s="8"/>
      <c r="AK100" s="8"/>
      <c r="AL100" s="8"/>
      <c r="AM100" s="8"/>
      <c r="AN100" s="16"/>
      <c r="AR100" s="14">
        <f>N100/AN110</f>
        <v>0.16585831445848381</v>
      </c>
      <c r="AS100" s="16"/>
      <c r="AW100" s="33">
        <f t="shared" si="7"/>
        <v>18.107469512195124</v>
      </c>
      <c r="AX100" s="16"/>
    </row>
    <row r="101" spans="1:54" x14ac:dyDescent="0.25">
      <c r="A101" s="149">
        <v>43891</v>
      </c>
      <c r="B101" s="2">
        <v>13947</v>
      </c>
      <c r="C101" s="2">
        <v>196725</v>
      </c>
      <c r="D101" s="2">
        <v>13744</v>
      </c>
      <c r="E101" s="2">
        <v>195435</v>
      </c>
      <c r="F101" s="10">
        <f t="shared" si="14"/>
        <v>392160</v>
      </c>
      <c r="G101" s="10">
        <f t="shared" si="15"/>
        <v>27691</v>
      </c>
      <c r="H101" s="2"/>
      <c r="I101" s="2"/>
      <c r="J101" s="2"/>
      <c r="K101" s="2"/>
      <c r="L101" s="2"/>
      <c r="M101" s="13">
        <v>13947</v>
      </c>
      <c r="N101" s="10">
        <v>196725</v>
      </c>
      <c r="O101" s="10">
        <v>13744</v>
      </c>
      <c r="P101" s="10">
        <v>195435</v>
      </c>
      <c r="Q101" s="10">
        <f t="shared" si="10"/>
        <v>392160</v>
      </c>
      <c r="R101" s="10">
        <f t="shared" si="11"/>
        <v>27691</v>
      </c>
      <c r="S101" s="16">
        <f t="shared" si="17"/>
        <v>0.56452622896306304</v>
      </c>
      <c r="T101" s="8"/>
      <c r="U101" s="8"/>
      <c r="V101" s="8"/>
      <c r="W101" s="14">
        <f>Q101/S110</f>
        <v>9.8269385312666088E-2</v>
      </c>
      <c r="X101" s="9">
        <f t="shared" si="12"/>
        <v>1.0066006600660067</v>
      </c>
      <c r="Y101" s="21">
        <f t="shared" si="16"/>
        <v>0.71128406668207855</v>
      </c>
      <c r="Z101" s="8"/>
      <c r="AA101" s="8"/>
      <c r="AB101" s="8"/>
      <c r="AC101" s="14">
        <f>R101/Y110</f>
        <v>0.11405611572426519</v>
      </c>
      <c r="AD101" s="9">
        <f t="shared" si="13"/>
        <v>1.0147700814901048</v>
      </c>
      <c r="AE101" s="8"/>
      <c r="AF101" s="8"/>
      <c r="AG101" s="8"/>
      <c r="AH101" s="8"/>
      <c r="AI101" s="8"/>
      <c r="AJ101" s="8"/>
      <c r="AK101" s="8"/>
      <c r="AL101" s="8"/>
      <c r="AM101" s="8"/>
      <c r="AN101" s="16"/>
      <c r="AR101" s="14">
        <f>N101/AN110</f>
        <v>9.8101843402080668E-2</v>
      </c>
      <c r="AS101" s="16"/>
      <c r="AW101" s="33">
        <f t="shared" si="7"/>
        <v>14.105183910518392</v>
      </c>
      <c r="AX101" s="16"/>
    </row>
    <row r="102" spans="1:54" x14ac:dyDescent="0.25">
      <c r="A102" s="149">
        <v>43922</v>
      </c>
      <c r="B102" s="2">
        <v>3616</v>
      </c>
      <c r="C102" s="2">
        <v>35511</v>
      </c>
      <c r="D102" s="2">
        <v>3243</v>
      </c>
      <c r="E102" s="2">
        <v>30796</v>
      </c>
      <c r="F102" s="10">
        <f t="shared" si="14"/>
        <v>66307</v>
      </c>
      <c r="G102" s="10">
        <f t="shared" si="15"/>
        <v>6859</v>
      </c>
      <c r="H102" s="2"/>
      <c r="I102" s="2"/>
      <c r="J102" s="2"/>
      <c r="K102" s="2"/>
      <c r="L102" s="2"/>
      <c r="M102" s="13">
        <v>3616</v>
      </c>
      <c r="N102" s="10">
        <v>35511</v>
      </c>
      <c r="O102" s="10">
        <v>3243</v>
      </c>
      <c r="P102" s="10">
        <v>30796</v>
      </c>
      <c r="Q102" s="10">
        <f t="shared" si="10"/>
        <v>66307</v>
      </c>
      <c r="R102" s="10">
        <f t="shared" si="11"/>
        <v>6859</v>
      </c>
      <c r="S102" s="16">
        <f t="shared" si="17"/>
        <v>0.10092911961958458</v>
      </c>
      <c r="T102" s="8"/>
      <c r="U102" s="8"/>
      <c r="V102" s="8"/>
      <c r="W102" s="14">
        <f>Q102/S110</f>
        <v>1.6615534812135228E-2</v>
      </c>
      <c r="X102" s="9">
        <f t="shared" si="12"/>
        <v>1.1531042992596441</v>
      </c>
      <c r="Y102" s="21">
        <f t="shared" si="16"/>
        <v>0.18364614849125813</v>
      </c>
      <c r="Z102" s="8"/>
      <c r="AA102" s="8"/>
      <c r="AB102" s="8"/>
      <c r="AC102" s="14">
        <f>R102/Y110</f>
        <v>2.8251449848424936E-2</v>
      </c>
      <c r="AD102" s="9">
        <f t="shared" si="13"/>
        <v>1.1150169596053037</v>
      </c>
      <c r="AE102" s="8"/>
      <c r="AF102" s="8"/>
      <c r="AG102" s="8"/>
      <c r="AH102" s="8"/>
      <c r="AI102" s="8"/>
      <c r="AJ102" s="8"/>
      <c r="AK102" s="8"/>
      <c r="AL102" s="8"/>
      <c r="AM102" s="8"/>
      <c r="AN102" s="16"/>
      <c r="AR102" s="14">
        <f>N102/AN110</f>
        <v>1.7708448651931816E-2</v>
      </c>
      <c r="AS102" s="16"/>
      <c r="AW102" s="33">
        <f t="shared" si="7"/>
        <v>9.8205199115044248</v>
      </c>
      <c r="AX102" s="16"/>
    </row>
    <row r="103" spans="1:54" x14ac:dyDescent="0.25">
      <c r="A103" s="149">
        <v>43952</v>
      </c>
      <c r="B103" s="2">
        <v>4486</v>
      </c>
      <c r="C103" s="2">
        <v>52611</v>
      </c>
      <c r="D103" s="2">
        <v>3928</v>
      </c>
      <c r="E103" s="2">
        <v>46253</v>
      </c>
      <c r="F103" s="10">
        <f t="shared" si="14"/>
        <v>98864</v>
      </c>
      <c r="G103" s="10">
        <f t="shared" si="15"/>
        <v>8414</v>
      </c>
      <c r="H103" s="2"/>
      <c r="I103" s="2"/>
      <c r="J103" s="2"/>
      <c r="K103" s="2"/>
      <c r="L103" s="2"/>
      <c r="M103" s="13">
        <v>4486</v>
      </c>
      <c r="N103" s="10">
        <v>52611</v>
      </c>
      <c r="O103" s="10">
        <v>3928</v>
      </c>
      <c r="P103" s="10">
        <v>46253</v>
      </c>
      <c r="Q103" s="10">
        <f t="shared" si="10"/>
        <v>98864</v>
      </c>
      <c r="R103" s="10">
        <f t="shared" si="11"/>
        <v>8414</v>
      </c>
      <c r="S103" s="16">
        <f t="shared" si="17"/>
        <v>0.15485657628249608</v>
      </c>
      <c r="T103" s="8"/>
      <c r="U103" s="8"/>
      <c r="V103" s="8"/>
      <c r="W103" s="14">
        <f>Q103/S110</f>
        <v>2.4773828308729651E-2</v>
      </c>
      <c r="X103" s="9">
        <f t="shared" si="12"/>
        <v>1.1374613538581282</v>
      </c>
      <c r="Y103" s="21">
        <f t="shared" si="16"/>
        <v>0.22377659574468084</v>
      </c>
      <c r="Z103" s="8"/>
      <c r="AA103" s="8"/>
      <c r="AB103" s="8"/>
      <c r="AC103" s="14">
        <f>R103/Y110</f>
        <v>3.4656320021088705E-2</v>
      </c>
      <c r="AD103" s="9">
        <f t="shared" si="13"/>
        <v>1.1420570264765784</v>
      </c>
      <c r="AE103" s="8"/>
      <c r="AF103" s="8"/>
      <c r="AG103" s="8"/>
      <c r="AH103" s="8"/>
      <c r="AI103" s="8"/>
      <c r="AJ103" s="8"/>
      <c r="AK103" s="8"/>
      <c r="AL103" s="8"/>
      <c r="AM103" s="8"/>
      <c r="AN103" s="16"/>
      <c r="AR103" s="14">
        <f>N103/AN110</f>
        <v>2.6235791501979241E-2</v>
      </c>
      <c r="AS103" s="16"/>
      <c r="AW103" s="33">
        <f t="shared" si="7"/>
        <v>11.727819884083816</v>
      </c>
      <c r="AX103" s="16"/>
    </row>
    <row r="104" spans="1:54" x14ac:dyDescent="0.25">
      <c r="A104" s="149">
        <v>43983</v>
      </c>
      <c r="B104" s="2">
        <v>5344</v>
      </c>
      <c r="C104" s="2">
        <v>70764</v>
      </c>
      <c r="D104" s="6">
        <v>4707</v>
      </c>
      <c r="E104" s="6">
        <v>61057</v>
      </c>
      <c r="F104" s="10">
        <f t="shared" si="14"/>
        <v>131821</v>
      </c>
      <c r="G104" s="10">
        <f t="shared" si="15"/>
        <v>10051</v>
      </c>
      <c r="H104" s="6"/>
      <c r="I104" s="6"/>
      <c r="J104" s="6"/>
      <c r="K104" s="6"/>
      <c r="L104" s="6"/>
      <c r="M104" s="17">
        <v>5344</v>
      </c>
      <c r="N104" s="18">
        <v>70764</v>
      </c>
      <c r="O104" s="18">
        <v>4707</v>
      </c>
      <c r="P104" s="18">
        <v>61057</v>
      </c>
      <c r="Q104" s="10">
        <f t="shared" si="10"/>
        <v>131821</v>
      </c>
      <c r="R104" s="10">
        <f t="shared" si="11"/>
        <v>10051</v>
      </c>
      <c r="S104" s="16">
        <f t="shared" si="17"/>
        <v>0.20525065240002241</v>
      </c>
      <c r="T104" s="8"/>
      <c r="U104" s="8"/>
      <c r="V104" s="8"/>
      <c r="W104" s="14">
        <f>Q104/S110</f>
        <v>3.3032355776471227E-2</v>
      </c>
      <c r="X104" s="9">
        <f t="shared" si="12"/>
        <v>1.1589825900388162</v>
      </c>
      <c r="Y104" s="21">
        <f t="shared" si="16"/>
        <v>0.27411568985736495</v>
      </c>
      <c r="Z104" s="8"/>
      <c r="AA104" s="8"/>
      <c r="AB104" s="8"/>
      <c r="AC104" s="14">
        <f>R104/Y110</f>
        <v>4.1398938974561747E-2</v>
      </c>
      <c r="AD104" s="9">
        <f t="shared" si="13"/>
        <v>1.1353303590397281</v>
      </c>
      <c r="AE104" s="8"/>
      <c r="AF104" s="8"/>
      <c r="AG104" s="8"/>
      <c r="AH104" s="8"/>
      <c r="AI104" s="8"/>
      <c r="AJ104" s="8"/>
      <c r="AK104" s="8"/>
      <c r="AL104" s="8"/>
      <c r="AM104" s="8"/>
      <c r="AN104" s="16"/>
      <c r="AR104" s="14">
        <f>N104/AN110</f>
        <v>3.5288239148582215E-2</v>
      </c>
      <c r="AS104" s="16"/>
      <c r="AW104" s="33">
        <f t="shared" ref="AW104:AW111" si="18">N104/M104</f>
        <v>13.241766467065869</v>
      </c>
      <c r="AX104" s="16"/>
    </row>
    <row r="105" spans="1:54" x14ac:dyDescent="0.25">
      <c r="A105" s="149">
        <v>44013</v>
      </c>
      <c r="B105" s="2">
        <v>6306</v>
      </c>
      <c r="C105" s="2">
        <v>82416</v>
      </c>
      <c r="D105" s="6">
        <v>6292</v>
      </c>
      <c r="E105" s="6">
        <v>80977</v>
      </c>
      <c r="F105" s="10">
        <f t="shared" si="14"/>
        <v>163393</v>
      </c>
      <c r="G105" s="10">
        <f t="shared" si="15"/>
        <v>12598</v>
      </c>
      <c r="H105" s="6"/>
      <c r="I105" s="6"/>
      <c r="J105" s="6"/>
      <c r="K105" s="6"/>
      <c r="L105" s="6"/>
      <c r="M105" s="17">
        <v>6306</v>
      </c>
      <c r="N105" s="18">
        <v>82416</v>
      </c>
      <c r="O105" s="18">
        <v>6292</v>
      </c>
      <c r="P105" s="18">
        <v>80977</v>
      </c>
      <c r="Q105" s="10">
        <f t="shared" si="10"/>
        <v>163393</v>
      </c>
      <c r="R105" s="10">
        <f t="shared" si="11"/>
        <v>12598</v>
      </c>
      <c r="S105" s="16">
        <f t="shared" si="17"/>
        <v>0.19982511495939731</v>
      </c>
      <c r="T105" s="10">
        <f>Q105/26.4</f>
        <v>6189.128787878788</v>
      </c>
      <c r="U105" s="8"/>
      <c r="V105" s="8"/>
      <c r="W105" s="14">
        <f>Q105/S110</f>
        <v>4.0943823119115798E-2</v>
      </c>
      <c r="X105" s="9">
        <f t="shared" si="12"/>
        <v>1.0177704780369734</v>
      </c>
      <c r="Y105" s="21">
        <f t="shared" si="16"/>
        <v>0.32069852098872287</v>
      </c>
      <c r="Z105" s="8"/>
      <c r="AA105" s="8"/>
      <c r="AB105" s="8"/>
      <c r="AC105" s="14">
        <f>R105/Y110</f>
        <v>5.1889745617503626E-2</v>
      </c>
      <c r="AD105" s="9">
        <f t="shared" si="13"/>
        <v>1.0022250476795931</v>
      </c>
      <c r="AE105" s="8"/>
      <c r="AF105" s="8"/>
      <c r="AG105" s="8"/>
      <c r="AH105" s="8"/>
      <c r="AI105" s="8"/>
      <c r="AJ105" s="8"/>
      <c r="AK105" s="8"/>
      <c r="AL105" s="8"/>
      <c r="AM105" s="8"/>
      <c r="AN105" s="16"/>
      <c r="AR105" s="14">
        <f>N105/AN110</f>
        <v>4.1098800487105763E-2</v>
      </c>
      <c r="AS105" s="16"/>
      <c r="AW105" s="33">
        <f t="shared" si="18"/>
        <v>13.069457659372027</v>
      </c>
      <c r="AX105" s="16"/>
    </row>
    <row r="106" spans="1:54" x14ac:dyDescent="0.25">
      <c r="A106" s="149">
        <v>44044</v>
      </c>
      <c r="B106" s="2">
        <v>7571</v>
      </c>
      <c r="C106" s="2">
        <v>109095</v>
      </c>
      <c r="D106" s="6">
        <f>5917+1704+70</f>
        <v>7691</v>
      </c>
      <c r="E106" s="6">
        <f>70739+40097+1257</f>
        <v>112093</v>
      </c>
      <c r="F106" s="10">
        <f t="shared" si="14"/>
        <v>221188</v>
      </c>
      <c r="G106" s="10">
        <f t="shared" si="15"/>
        <v>15262</v>
      </c>
      <c r="H106" s="6"/>
      <c r="I106" s="6"/>
      <c r="J106" s="6"/>
      <c r="K106" s="6"/>
      <c r="L106" s="6"/>
      <c r="M106" s="17">
        <v>7571</v>
      </c>
      <c r="N106" s="18">
        <v>109095</v>
      </c>
      <c r="O106" s="18">
        <f>5917+1704+70</f>
        <v>7691</v>
      </c>
      <c r="P106" s="18">
        <f>70739+40097+1257</f>
        <v>112093</v>
      </c>
      <c r="Q106" s="10">
        <f t="shared" ref="Q106:Q111" si="19">N106+P106</f>
        <v>221188</v>
      </c>
      <c r="R106" s="10">
        <f t="shared" ref="R106:R111" si="20">M106+O106</f>
        <v>15262</v>
      </c>
      <c r="S106" s="16">
        <f t="shared" si="17"/>
        <v>0.3249028323310546</v>
      </c>
      <c r="T106" s="8"/>
      <c r="U106" s="8"/>
      <c r="V106" s="8"/>
      <c r="W106" s="14">
        <f>Q106/S110</f>
        <v>5.5426379025239662E-2</v>
      </c>
      <c r="X106" s="9">
        <f t="shared" si="12"/>
        <v>0.97325435129758331</v>
      </c>
      <c r="Y106" s="21">
        <f t="shared" si="16"/>
        <v>0.39816336646578487</v>
      </c>
      <c r="Z106" s="8"/>
      <c r="AA106" s="8"/>
      <c r="AB106" s="8"/>
      <c r="AC106" s="14">
        <f>R106/Y110</f>
        <v>6.2862462106234349E-2</v>
      </c>
      <c r="AD106" s="9">
        <f t="shared" si="13"/>
        <v>0.98439734754908337</v>
      </c>
      <c r="AE106" s="8"/>
      <c r="AF106" s="8"/>
      <c r="AG106" s="8"/>
      <c r="AH106" s="8"/>
      <c r="AI106" s="8"/>
      <c r="AJ106" s="8"/>
      <c r="AK106" s="8"/>
      <c r="AL106" s="8"/>
      <c r="AM106" s="8"/>
      <c r="AN106" s="16"/>
      <c r="AR106" s="14">
        <f>N106/AN110</f>
        <v>5.440295135824115E-2</v>
      </c>
      <c r="AS106" s="16"/>
      <c r="AW106" s="33">
        <f t="shared" si="18"/>
        <v>14.409589222031435</v>
      </c>
      <c r="AX106" s="16"/>
    </row>
    <row r="107" spans="1:54" x14ac:dyDescent="0.25">
      <c r="A107" s="149">
        <v>44075</v>
      </c>
      <c r="B107" s="2">
        <v>8615</v>
      </c>
      <c r="C107" s="2">
        <v>140527</v>
      </c>
      <c r="D107" s="6">
        <f>6839+1875+88</f>
        <v>8802</v>
      </c>
      <c r="E107" s="6">
        <f>87909+51505+1847</f>
        <v>141261</v>
      </c>
      <c r="F107" s="10">
        <f t="shared" si="14"/>
        <v>281788</v>
      </c>
      <c r="G107" s="10">
        <f t="shared" si="15"/>
        <v>17417</v>
      </c>
      <c r="H107" s="6"/>
      <c r="I107" s="6"/>
      <c r="J107" s="6"/>
      <c r="K107" s="6"/>
      <c r="L107" s="6"/>
      <c r="M107" s="17">
        <v>8615</v>
      </c>
      <c r="N107" s="18">
        <v>140527</v>
      </c>
      <c r="O107" s="18">
        <f>6839+1875+88</f>
        <v>8802</v>
      </c>
      <c r="P107" s="18">
        <f>87909+51505+1847</f>
        <v>141261</v>
      </c>
      <c r="Q107" s="10">
        <f t="shared" si="19"/>
        <v>281788</v>
      </c>
      <c r="R107" s="10">
        <f t="shared" si="20"/>
        <v>17417</v>
      </c>
      <c r="S107" s="16">
        <f t="shared" si="17"/>
        <v>0.41803346783764539</v>
      </c>
      <c r="T107" s="8"/>
      <c r="U107" s="8"/>
      <c r="V107" s="8"/>
      <c r="W107" s="14">
        <f>Q107/S110</f>
        <v>7.0611825654032928E-2</v>
      </c>
      <c r="X107" s="9">
        <f t="shared" si="12"/>
        <v>0.99480394447158094</v>
      </c>
      <c r="Y107" s="21">
        <f t="shared" si="16"/>
        <v>0.46718167431131141</v>
      </c>
      <c r="Z107" s="8"/>
      <c r="AA107" s="8"/>
      <c r="AB107" s="8"/>
      <c r="AC107" s="14">
        <f>R107/Y110</f>
        <v>7.1738664821405035E-2</v>
      </c>
      <c r="AD107" s="9">
        <f t="shared" si="13"/>
        <v>0.97875482844807993</v>
      </c>
      <c r="AE107" s="8"/>
      <c r="AF107" s="8"/>
      <c r="AG107" s="8"/>
      <c r="AH107" s="8"/>
      <c r="AI107" s="8"/>
      <c r="AJ107" s="8"/>
      <c r="AK107" s="8"/>
      <c r="AL107" s="8"/>
      <c r="AM107" s="8"/>
      <c r="AN107" s="16"/>
      <c r="AR107" s="14">
        <f>N107/AN110</f>
        <v>7.0077304601673357E-2</v>
      </c>
      <c r="AS107" s="16"/>
      <c r="AW107" s="33">
        <f t="shared" si="18"/>
        <v>16.311897852582703</v>
      </c>
      <c r="AX107" s="16"/>
    </row>
    <row r="108" spans="1:54" x14ac:dyDescent="0.25">
      <c r="A108" s="149">
        <v>44105</v>
      </c>
      <c r="B108" s="2">
        <v>10752</v>
      </c>
      <c r="C108" s="2">
        <v>189732</v>
      </c>
      <c r="D108" s="6">
        <f>8039+2416+92</f>
        <v>10547</v>
      </c>
      <c r="E108" s="6">
        <f>109755+67513+1829</f>
        <v>179097</v>
      </c>
      <c r="F108" s="10">
        <f t="shared" si="14"/>
        <v>368829</v>
      </c>
      <c r="G108" s="10">
        <f t="shared" si="15"/>
        <v>21299</v>
      </c>
      <c r="H108" s="6"/>
      <c r="I108" s="6"/>
      <c r="J108" s="6"/>
      <c r="K108" s="6"/>
      <c r="L108" s="6"/>
      <c r="M108" s="17">
        <v>10752</v>
      </c>
      <c r="N108" s="18">
        <v>189732</v>
      </c>
      <c r="O108" s="18">
        <f>8039+2416+92</f>
        <v>10547</v>
      </c>
      <c r="P108" s="18">
        <f>109755+67513+1829</f>
        <v>179097</v>
      </c>
      <c r="Q108" s="10">
        <f t="shared" si="19"/>
        <v>368829</v>
      </c>
      <c r="R108" s="10">
        <f t="shared" si="20"/>
        <v>21299</v>
      </c>
      <c r="S108" s="16">
        <f t="shared" si="17"/>
        <v>0.48913912712506152</v>
      </c>
      <c r="T108" s="8"/>
      <c r="U108" s="8"/>
      <c r="V108" s="8"/>
      <c r="W108" s="14">
        <f>Q108/S110</f>
        <v>9.2422988360580688E-2</v>
      </c>
      <c r="X108" s="9">
        <f t="shared" si="12"/>
        <v>1.0593812291663176</v>
      </c>
      <c r="Y108" s="21">
        <f t="shared" si="16"/>
        <v>0.54730702024874089</v>
      </c>
      <c r="Z108" s="8"/>
      <c r="AA108" s="8"/>
      <c r="AB108" s="8"/>
      <c r="AC108" s="14">
        <f>R108/Y110</f>
        <v>8.7728186371424807E-2</v>
      </c>
      <c r="AD108" s="9">
        <f t="shared" si="13"/>
        <v>1.0194368066748838</v>
      </c>
      <c r="AE108" s="8"/>
      <c r="AF108" s="8"/>
      <c r="AG108" s="8"/>
      <c r="AH108" s="8"/>
      <c r="AI108" s="8"/>
      <c r="AJ108" s="8"/>
      <c r="AK108" s="8"/>
      <c r="AL108" s="8"/>
      <c r="AM108" s="8"/>
      <c r="AN108" s="16"/>
      <c r="AR108" s="14">
        <f>N108/AN110</f>
        <v>9.4614608983929704E-2</v>
      </c>
      <c r="AS108" s="16"/>
      <c r="AW108" s="33">
        <f t="shared" si="18"/>
        <v>17.646205357142858</v>
      </c>
      <c r="AX108" s="16"/>
    </row>
    <row r="109" spans="1:54" x14ac:dyDescent="0.25">
      <c r="A109" s="149">
        <v>44136</v>
      </c>
      <c r="B109" s="2">
        <v>10349</v>
      </c>
      <c r="C109" s="2">
        <v>174852</v>
      </c>
      <c r="D109" s="6">
        <f>8066+2297+155</f>
        <v>10518</v>
      </c>
      <c r="E109" s="6">
        <f>115182+59000+3325</f>
        <v>177507</v>
      </c>
      <c r="F109" s="10">
        <f t="shared" si="14"/>
        <v>352359</v>
      </c>
      <c r="G109" s="10">
        <f t="shared" si="15"/>
        <v>20867</v>
      </c>
      <c r="H109" s="6"/>
      <c r="I109" s="6"/>
      <c r="J109" s="6"/>
      <c r="K109" s="6"/>
      <c r="L109" s="6"/>
      <c r="M109" s="17">
        <v>10349</v>
      </c>
      <c r="N109" s="18">
        <v>174852</v>
      </c>
      <c r="O109" s="18">
        <f>8066+2297+155</f>
        <v>10518</v>
      </c>
      <c r="P109" s="18">
        <f>115182+59000+3325</f>
        <v>177507</v>
      </c>
      <c r="Q109" s="10">
        <f t="shared" si="19"/>
        <v>352359</v>
      </c>
      <c r="R109" s="10">
        <f t="shared" si="20"/>
        <v>20867</v>
      </c>
      <c r="S109" s="16">
        <f t="shared" si="17"/>
        <v>0.52511970814015352</v>
      </c>
      <c r="T109" s="8"/>
      <c r="U109" s="8"/>
      <c r="V109" s="8"/>
      <c r="W109" s="14">
        <f>Q109/S110</f>
        <v>8.8295854598596776E-2</v>
      </c>
      <c r="X109" s="9">
        <f t="shared" si="12"/>
        <v>0.98504284338082437</v>
      </c>
      <c r="Y109" s="21">
        <f t="shared" si="16"/>
        <v>0.55526875997871206</v>
      </c>
      <c r="Z109" s="8"/>
      <c r="AA109" s="8"/>
      <c r="AB109" s="8"/>
      <c r="AC109" s="14">
        <f>R109/Y110</f>
        <v>8.5948826940819817E-2</v>
      </c>
      <c r="AD109" s="9">
        <f t="shared" si="13"/>
        <v>0.98393230652215247</v>
      </c>
      <c r="AE109" s="8"/>
      <c r="AF109" s="8"/>
      <c r="AG109" s="8"/>
      <c r="AH109" s="8"/>
      <c r="AI109" s="8"/>
      <c r="AJ109" s="8"/>
      <c r="AK109" s="8"/>
      <c r="AL109" s="8"/>
      <c r="AM109" s="8"/>
      <c r="AN109" s="16"/>
      <c r="AR109" s="14">
        <f>N109/AN110</f>
        <v>8.7194324679327029E-2</v>
      </c>
      <c r="AS109" s="16"/>
      <c r="AW109" s="33">
        <f t="shared" si="18"/>
        <v>16.895545463329789</v>
      </c>
      <c r="AX109" s="16"/>
    </row>
    <row r="110" spans="1:54" x14ac:dyDescent="0.25">
      <c r="A110" s="149">
        <v>44166</v>
      </c>
      <c r="B110" s="2">
        <v>12456</v>
      </c>
      <c r="C110" s="2">
        <v>229286</v>
      </c>
      <c r="D110" s="6">
        <f>9026+2849+204</f>
        <v>12079</v>
      </c>
      <c r="E110" s="6">
        <f>132654+70184+4520</f>
        <v>207358</v>
      </c>
      <c r="F110" s="10">
        <f t="shared" si="14"/>
        <v>436644</v>
      </c>
      <c r="G110" s="10">
        <f t="shared" si="15"/>
        <v>24535</v>
      </c>
      <c r="H110" s="11">
        <f>SUM(F99:F110)</f>
        <v>3990663</v>
      </c>
      <c r="I110" s="11">
        <f>AVERAGE(F99:F110)</f>
        <v>332555.25</v>
      </c>
      <c r="J110" s="11">
        <f>H110/365</f>
        <v>10933.323287671234</v>
      </c>
      <c r="K110" s="15">
        <f>(J110-J98)/J98</f>
        <v>-0.53701017665870154</v>
      </c>
      <c r="L110" s="6"/>
      <c r="M110" s="17">
        <v>12456</v>
      </c>
      <c r="N110" s="18">
        <v>229286</v>
      </c>
      <c r="O110" s="18">
        <f>9026+2849+204</f>
        <v>12079</v>
      </c>
      <c r="P110" s="18">
        <f>132654+70184+4520</f>
        <v>207358</v>
      </c>
      <c r="Q110" s="10">
        <f t="shared" si="19"/>
        <v>436644</v>
      </c>
      <c r="R110" s="10">
        <f t="shared" si="20"/>
        <v>24535</v>
      </c>
      <c r="S110" s="11">
        <f>SUM(Q99:Q110)</f>
        <v>3990663</v>
      </c>
      <c r="T110" s="11">
        <f>AVERAGE(Q99:Q110)</f>
        <v>332555.25</v>
      </c>
      <c r="U110" s="11">
        <f>S110/365</f>
        <v>10933.323287671234</v>
      </c>
      <c r="V110" s="15">
        <f>(U110-U98)/U98</f>
        <v>-0.53701017665870154</v>
      </c>
      <c r="W110" s="14">
        <f>Q110/S110</f>
        <v>0.10941640524394067</v>
      </c>
      <c r="X110" s="9">
        <f t="shared" si="12"/>
        <v>1.1057494767503544</v>
      </c>
      <c r="Y110" s="11">
        <f>SUM(R99:R110)</f>
        <v>242784</v>
      </c>
      <c r="Z110" s="11">
        <f>Y110/12</f>
        <v>20232</v>
      </c>
      <c r="AA110" s="11">
        <f>Y110/365</f>
        <v>665.16164383561647</v>
      </c>
      <c r="AB110" s="15">
        <f>(AA110-AA98)/AA98</f>
        <v>-0.46891481295950749</v>
      </c>
      <c r="AC110" s="14">
        <f>R110/Y110</f>
        <v>0.1010569065506788</v>
      </c>
      <c r="AD110" s="9">
        <f t="shared" si="13"/>
        <v>1.0312111929795513</v>
      </c>
      <c r="AE110" s="11">
        <f>SUM(M99:M110)</f>
        <v>122245</v>
      </c>
      <c r="AF110" s="11">
        <f>AE110/12</f>
        <v>10187.083333333334</v>
      </c>
      <c r="AG110" s="11">
        <f>AE110/365</f>
        <v>334.91780821917808</v>
      </c>
      <c r="AH110" s="15">
        <f>AE110/Y110</f>
        <v>0.50351341109793069</v>
      </c>
      <c r="AI110" s="8"/>
      <c r="AJ110" s="11">
        <f>SUM(O99:O110)</f>
        <v>120539</v>
      </c>
      <c r="AK110" s="11">
        <f>AJ110/12</f>
        <v>10044.916666666666</v>
      </c>
      <c r="AL110" s="11">
        <f>AJ110/365</f>
        <v>330.24383561643833</v>
      </c>
      <c r="AM110" s="15">
        <f>AJ110/Y110</f>
        <v>0.49648658890206931</v>
      </c>
      <c r="AN110" s="11">
        <f>SUM(N99:N110)</f>
        <v>2005314</v>
      </c>
      <c r="AO110" s="11">
        <f>AN110/12</f>
        <v>167109.5</v>
      </c>
      <c r="AP110" s="11">
        <f>AN110/365</f>
        <v>5494.0109589041094</v>
      </c>
      <c r="AQ110" s="15">
        <f>AN110/S110</f>
        <v>0.50250146404244111</v>
      </c>
      <c r="AR110" s="14">
        <f>N110/AN110</f>
        <v>0.11433920074362419</v>
      </c>
      <c r="AS110" s="11">
        <f>SUM(P99:P110)</f>
        <v>1985349</v>
      </c>
      <c r="AT110" s="11">
        <f>AS110/12</f>
        <v>165445.75</v>
      </c>
      <c r="AU110" s="11">
        <f>AS110/365</f>
        <v>5439.3123287671233</v>
      </c>
      <c r="AV110" s="15">
        <f>AS110/S110</f>
        <v>0.49749853595755894</v>
      </c>
      <c r="AW110" s="33">
        <f t="shared" si="18"/>
        <v>18.407675016056519</v>
      </c>
      <c r="AX110" s="11">
        <f>S110/AE110</f>
        <v>32.644795288150846</v>
      </c>
      <c r="AY110" s="11">
        <f>AX110/12</f>
        <v>2.7203996073459038</v>
      </c>
      <c r="AZ110" s="11">
        <f>AX110/365</f>
        <v>8.9437795310002316E-2</v>
      </c>
      <c r="BA110" s="15">
        <f>AX110/W110</f>
        <v>298.35375431472301</v>
      </c>
      <c r="BB110" s="15"/>
    </row>
    <row r="111" spans="1:54" x14ac:dyDescent="0.25">
      <c r="A111" s="149">
        <v>44197</v>
      </c>
      <c r="B111" s="2">
        <v>11550</v>
      </c>
      <c r="C111" s="2">
        <v>182385</v>
      </c>
      <c r="D111" s="2">
        <v>11709</v>
      </c>
      <c r="E111" s="2">
        <v>198454</v>
      </c>
      <c r="F111" s="10">
        <f t="shared" si="14"/>
        <v>380839</v>
      </c>
      <c r="G111" s="10">
        <f t="shared" si="15"/>
        <v>23259</v>
      </c>
      <c r="H111" s="11"/>
      <c r="I111" s="11"/>
      <c r="J111" s="11"/>
      <c r="K111" s="15"/>
      <c r="L111" s="2"/>
      <c r="M111" s="19">
        <f>B111</f>
        <v>11550</v>
      </c>
      <c r="N111" s="20">
        <f>C111</f>
        <v>182385</v>
      </c>
      <c r="O111" s="20">
        <f>D111</f>
        <v>11709</v>
      </c>
      <c r="P111" s="20">
        <f>E111</f>
        <v>198454</v>
      </c>
      <c r="Q111" s="20">
        <f t="shared" si="19"/>
        <v>380839</v>
      </c>
      <c r="R111" s="20">
        <f t="shared" si="20"/>
        <v>23259</v>
      </c>
      <c r="S111" s="21">
        <f>Q111/Q99</f>
        <v>0.46618029586197191</v>
      </c>
      <c r="T111" s="22"/>
      <c r="U111" s="22"/>
      <c r="V111" s="15">
        <f>S98/S50</f>
        <v>1.0217576565748623</v>
      </c>
      <c r="W111" s="15"/>
      <c r="X111" s="23">
        <f t="shared" si="12"/>
        <v>0.91902909490360485</v>
      </c>
      <c r="Y111" s="21">
        <f>R111/R99</f>
        <v>0.56632578524470412</v>
      </c>
      <c r="Z111" s="22"/>
      <c r="AA111" s="22"/>
      <c r="AB111" s="15">
        <f>100%-(Y98/Y50)</f>
        <v>3.7325847807409107E-2</v>
      </c>
      <c r="AC111" s="15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15">
        <f>(AN110-AN98)/AN98</f>
        <v>-0.55064763832283592</v>
      </c>
      <c r="AQ111" s="15">
        <f>N111/Q111</f>
        <v>0.47890315855256421</v>
      </c>
      <c r="AR111" s="15"/>
      <c r="AS111" s="15">
        <f>(AS110-AS98)/AS98</f>
        <v>-0.52236870214903519</v>
      </c>
      <c r="AW111" s="33">
        <f t="shared" si="18"/>
        <v>15.790909090909091</v>
      </c>
      <c r="AX111" s="21"/>
    </row>
    <row r="113" spans="18:52" x14ac:dyDescent="0.25">
      <c r="S113" s="2">
        <f>AVERAGE(S50,S62,S74,S86,S98)</f>
        <v>8162038.4000000004</v>
      </c>
      <c r="T113" s="2">
        <f>S113/12</f>
        <v>680169.8666666667</v>
      </c>
      <c r="U113" s="2">
        <f>S113/365</f>
        <v>22361.749041095893</v>
      </c>
      <c r="V113">
        <f>S110/S98</f>
        <v>0.4629898233412984</v>
      </c>
      <c r="W113" s="5">
        <f>AVERAGE(W87,W75,W63,W51,W39)</f>
        <v>9.796960851659961E-2</v>
      </c>
      <c r="Y113" s="2">
        <f>AVERAGE(Y50,Y62,Y74,Y86,Y98)</f>
        <v>460206</v>
      </c>
      <c r="Z113" s="2">
        <f>Y113/12</f>
        <v>38350.5</v>
      </c>
      <c r="AA113" s="2">
        <f>Y113/365</f>
        <v>1260.8383561643836</v>
      </c>
      <c r="AC113" s="5">
        <f>AVERAGE(AC87,AC75,AC63,AC51,AC39)</f>
        <v>8.7620491792078162E-2</v>
      </c>
      <c r="AD113" s="5"/>
      <c r="AE113" s="2">
        <f>AVERAGE(AE50,AE62,AE74,AE86,AE98)</f>
        <v>231449.4</v>
      </c>
      <c r="AF113" s="2">
        <f>AE113/12</f>
        <v>19287.45</v>
      </c>
      <c r="AG113" s="2">
        <f>AE113/365</f>
        <v>634.10794520547938</v>
      </c>
      <c r="AJ113" s="2">
        <f>AVERAGE(AJ50,AJ62,AJ74,AJ86,AJ98)</f>
        <v>228756.6</v>
      </c>
      <c r="AK113" s="2">
        <f>AJ113/12</f>
        <v>19063.05</v>
      </c>
      <c r="AL113" s="2">
        <f>AJ113/365</f>
        <v>626.73041095890414</v>
      </c>
      <c r="AN113" s="2">
        <f>AVERAGE(AN50,AN62,AN74,AN86,AN98)</f>
        <v>4228326.4000000004</v>
      </c>
      <c r="AO113" s="2">
        <f>AN113/12</f>
        <v>352360.53333333338</v>
      </c>
      <c r="AP113" s="2">
        <f>AN113/365</f>
        <v>11584.45589041096</v>
      </c>
      <c r="AS113" s="2">
        <f>AVERAGE(AS50,AS62,AS74,AS86,AS98)</f>
        <v>3933712</v>
      </c>
      <c r="AT113" s="2">
        <f>AS113/12</f>
        <v>327809.33333333331</v>
      </c>
      <c r="AU113" s="2">
        <f>AS113/365</f>
        <v>10777.293150684931</v>
      </c>
      <c r="AX113" s="2">
        <f>AVERAGE(AX50,AX62,AX74,AX86,AX98)</f>
        <v>35.266591368889991</v>
      </c>
      <c r="AY113" s="2">
        <f>AX113/12</f>
        <v>2.9388826140741657</v>
      </c>
      <c r="AZ113" s="2">
        <f>AX113/365</f>
        <v>9.6620798270931479E-2</v>
      </c>
    </row>
    <row r="114" spans="18:52" x14ac:dyDescent="0.25">
      <c r="R114" s="2">
        <f>SUM(R68:R74)/6</f>
        <v>45634.5</v>
      </c>
      <c r="W114" s="5">
        <f t="shared" ref="W114:W124" si="21">AVERAGE(W88,W76,W64,W52,W40)</f>
        <v>7.7506116582472279E-2</v>
      </c>
      <c r="AC114" s="5">
        <f t="shared" ref="AC114:AC124" si="22">AVERAGE(AC88,AC76,AC64,AC52,AC40)</f>
        <v>7.771568469261303E-2</v>
      </c>
      <c r="AD114" s="5"/>
      <c r="AE114" s="5">
        <f>AE113/Y113</f>
        <v>0.50292564634098647</v>
      </c>
      <c r="AN114" s="5">
        <f>AN113/S113</f>
        <v>0.51804784451883978</v>
      </c>
      <c r="AO114" s="2">
        <f>AVERAGE(AO110,AO98,AO86,AO74,AO62,AO50)</f>
        <v>321485.36111111112</v>
      </c>
      <c r="AP114" s="2">
        <f>AVERAGE(AP110,AP98,AP86,AP74,AP62,AP50)</f>
        <v>10569.381735159817</v>
      </c>
      <c r="AS114" s="5">
        <f>(AVERAGE(AS50,AS62,AS74,AS86,AS98)/AVERAGE($S98,$S86,$S74,$S62,$S50))</f>
        <v>0.48195215548116016</v>
      </c>
      <c r="AT114" s="2">
        <f>AVERAGE(AT110,AT98,AT86,AT74,AT62,AT50)</f>
        <v>300748.73611111107</v>
      </c>
      <c r="AU114" s="2">
        <f>AVERAGE(AU110,AU98,AU86,AU74,AU62,AU50)</f>
        <v>9887.6296803652967</v>
      </c>
    </row>
    <row r="115" spans="18:52" x14ac:dyDescent="0.25">
      <c r="R115" s="2">
        <f>SUM(R75:R81)/6</f>
        <v>43972.833333333336</v>
      </c>
      <c r="W115" s="5">
        <f t="shared" si="21"/>
        <v>7.7207013487431309E-2</v>
      </c>
      <c r="AC115" s="5">
        <f t="shared" si="22"/>
        <v>8.3942458962179028E-2</v>
      </c>
      <c r="AD115" s="5"/>
      <c r="AO115" s="2">
        <f>AO114+AT114</f>
        <v>622234.09722222225</v>
      </c>
      <c r="AP115" s="2">
        <f>AP114+AU114</f>
        <v>20457.011415525114</v>
      </c>
    </row>
    <row r="116" spans="18:52" x14ac:dyDescent="0.25">
      <c r="R116" s="2">
        <f>SUM(R80:R86)/6</f>
        <v>44225</v>
      </c>
      <c r="W116" s="5">
        <f t="shared" si="21"/>
        <v>8.0115237593755578E-2</v>
      </c>
      <c r="AC116" s="5">
        <f t="shared" si="22"/>
        <v>8.2719158142780885E-2</v>
      </c>
      <c r="AD116" s="5"/>
    </row>
    <row r="117" spans="18:52" x14ac:dyDescent="0.25">
      <c r="R117" s="2">
        <f>SUM(R87:R93)/6</f>
        <v>44000.666666666664</v>
      </c>
      <c r="W117" s="5">
        <f t="shared" si="21"/>
        <v>7.6974940116625895E-2</v>
      </c>
      <c r="AC117" s="5">
        <f t="shared" si="22"/>
        <v>8.3068179370332812E-2</v>
      </c>
      <c r="AD117" s="5"/>
    </row>
    <row r="118" spans="18:52" x14ac:dyDescent="0.25">
      <c r="R118" s="2">
        <f>SUM(R92:R98)/6</f>
        <v>44848.833333333336</v>
      </c>
      <c r="W118" s="5">
        <f t="shared" si="21"/>
        <v>7.4259263373448986E-2</v>
      </c>
      <c r="AC118" s="5">
        <f t="shared" si="22"/>
        <v>8.1268191366385786E-2</v>
      </c>
      <c r="AD118" s="5"/>
      <c r="AS118" s="2">
        <f>AT118*12</f>
        <v>5898741.041095891</v>
      </c>
      <c r="AT118" s="2">
        <f>AU118*30</f>
        <v>491561.75342465757</v>
      </c>
      <c r="AU118" s="2">
        <f>40000-AP98-AU98</f>
        <v>16385.391780821919</v>
      </c>
    </row>
    <row r="119" spans="18:52" x14ac:dyDescent="0.25">
      <c r="W119" s="5">
        <f t="shared" si="21"/>
        <v>9.5196360852424347E-2</v>
      </c>
      <c r="AC119" s="5">
        <f t="shared" si="22"/>
        <v>8.5895839705399879E-2</v>
      </c>
      <c r="AD119" s="5"/>
      <c r="AS119" s="2">
        <f>AT119*12</f>
        <v>2731057.0725530535</v>
      </c>
      <c r="AT119" s="2">
        <f>AU119*30</f>
        <v>227588.08937942112</v>
      </c>
      <c r="AU119" s="2">
        <f>40000+AV119-AP110-AU110</f>
        <v>7586.2696459807039</v>
      </c>
      <c r="AV119">
        <f>40000*V110</f>
        <v>-21480.407066348063</v>
      </c>
    </row>
    <row r="120" spans="18:52" x14ac:dyDescent="0.25">
      <c r="W120" s="5">
        <f t="shared" si="21"/>
        <v>7.9390456349544503E-2</v>
      </c>
      <c r="AC120" s="5">
        <f t="shared" si="22"/>
        <v>8.3983840203013152E-2</v>
      </c>
      <c r="AD120" s="5"/>
    </row>
    <row r="121" spans="18:52" x14ac:dyDescent="0.25">
      <c r="W121" s="5">
        <f t="shared" si="21"/>
        <v>7.913335919755736E-2</v>
      </c>
      <c r="AC121" s="5">
        <f t="shared" si="22"/>
        <v>8.1534122825440786E-2</v>
      </c>
      <c r="AD121" s="5"/>
    </row>
    <row r="122" spans="18:52" x14ac:dyDescent="0.25">
      <c r="W122" s="5">
        <f t="shared" si="21"/>
        <v>8.5420510015550316E-2</v>
      </c>
      <c r="AC122" s="5">
        <f t="shared" si="22"/>
        <v>8.4229996155421788E-2</v>
      </c>
      <c r="AD122" s="5"/>
    </row>
    <row r="123" spans="18:52" x14ac:dyDescent="0.25">
      <c r="W123" s="5">
        <f t="shared" si="21"/>
        <v>7.6756711113370124E-2</v>
      </c>
      <c r="AC123" s="5">
        <f t="shared" si="22"/>
        <v>8.0527742415525821E-2</v>
      </c>
      <c r="AD123" s="5"/>
    </row>
    <row r="124" spans="18:52" x14ac:dyDescent="0.25">
      <c r="W124" s="5">
        <f t="shared" si="21"/>
        <v>0.10007042280121969</v>
      </c>
      <c r="AC124" s="5">
        <f t="shared" si="22"/>
        <v>8.749429436882887E-2</v>
      </c>
      <c r="AD124" s="5"/>
    </row>
    <row r="126" spans="18:52" x14ac:dyDescent="0.25">
      <c r="W126" s="5">
        <f>S98/S50</f>
        <v>1.0217576565748623</v>
      </c>
      <c r="X126" s="5">
        <f>(W126-100%)/4</f>
        <v>5.4394141437155707E-3</v>
      </c>
    </row>
    <row r="127" spans="18:52" x14ac:dyDescent="0.25">
      <c r="W127" s="5">
        <f>S98/S62</f>
        <v>1.1331452937630768</v>
      </c>
      <c r="X127" s="5">
        <f>(W127-100%)/3</f>
        <v>4.4381764587692274E-2</v>
      </c>
    </row>
  </sheetData>
  <autoFilter ref="A1:BA111" xr:uid="{8C64ECD0-D2F4-49DB-A6F2-6F8946A4845A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30" showButton="0"/>
    <filterColumn colId="31" showButton="0"/>
    <filterColumn colId="32" showButton="0"/>
    <filterColumn colId="35" showButton="0"/>
    <filterColumn colId="36" showButton="0"/>
    <filterColumn colId="37" showButton="0"/>
    <filterColumn colId="39" showButton="0"/>
    <filterColumn colId="40" showButton="0"/>
    <filterColumn colId="41" showButton="0"/>
    <filterColumn colId="44" showButton="0"/>
    <filterColumn colId="45" showButton="0"/>
    <filterColumn colId="46" showButton="0"/>
    <filterColumn colId="48" showButton="0"/>
    <filterColumn colId="49" showButton="0"/>
    <filterColumn colId="50" showButton="0"/>
    <filterColumn colId="51" showButton="0"/>
  </autoFilter>
  <sortState xmlns:xlrd2="http://schemas.microsoft.com/office/spreadsheetml/2017/richdata2" ref="A3:P110">
    <sortCondition ref="A3:A110"/>
  </sortState>
  <mergeCells count="7">
    <mergeCell ref="AW1:BA1"/>
    <mergeCell ref="M1:X1"/>
    <mergeCell ref="A1:L1"/>
    <mergeCell ref="AN1:AQ1"/>
    <mergeCell ref="AS1:AV1"/>
    <mergeCell ref="AE1:AH1"/>
    <mergeCell ref="AJ1:AM1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79AED-8D3A-4013-8E47-805CF71FCE95}">
  <sheetPr>
    <tabColor rgb="FF92D050"/>
  </sheetPr>
  <dimension ref="A1:M120"/>
  <sheetViews>
    <sheetView zoomScale="85" zoomScaleNormal="85" workbookViewId="0">
      <pane xSplit="1" ySplit="1" topLeftCell="B89" activePane="bottomRight" state="frozen"/>
      <selection activeCell="J87" sqref="J87"/>
      <selection pane="topRight" activeCell="J87" sqref="J87"/>
      <selection pane="bottomLeft" activeCell="J87" sqref="J87"/>
      <selection pane="bottomRight" activeCell="J89" sqref="J89"/>
    </sheetView>
  </sheetViews>
  <sheetFormatPr defaultRowHeight="15" x14ac:dyDescent="0.25"/>
  <cols>
    <col min="2" max="2" width="28.140625" bestFit="1" customWidth="1"/>
    <col min="3" max="3" width="10.85546875" bestFit="1" customWidth="1"/>
    <col min="4" max="4" width="10.5703125" bestFit="1" customWidth="1"/>
    <col min="5" max="5" width="14.42578125" bestFit="1" customWidth="1"/>
    <col min="7" max="7" width="13.140625" bestFit="1" customWidth="1"/>
    <col min="8" max="8" width="9.42578125" bestFit="1" customWidth="1"/>
    <col min="9" max="9" width="14.42578125" bestFit="1" customWidth="1"/>
    <col min="10" max="10" width="25.28515625" bestFit="1" customWidth="1"/>
    <col min="11" max="11" width="21.140625" bestFit="1" customWidth="1"/>
  </cols>
  <sheetData>
    <row r="1" spans="1:7" x14ac:dyDescent="0.25">
      <c r="A1" t="s">
        <v>0</v>
      </c>
      <c r="B1" t="s">
        <v>17</v>
      </c>
      <c r="C1" t="s">
        <v>18</v>
      </c>
      <c r="D1" t="s">
        <v>19</v>
      </c>
      <c r="E1" t="s">
        <v>20</v>
      </c>
      <c r="F1" t="s">
        <v>33</v>
      </c>
      <c r="G1" t="s">
        <v>21</v>
      </c>
    </row>
    <row r="2" spans="1:7" x14ac:dyDescent="0.25">
      <c r="A2" s="1">
        <v>40909</v>
      </c>
      <c r="B2" s="2"/>
      <c r="C2" s="2"/>
      <c r="D2" s="2"/>
    </row>
    <row r="3" spans="1:7" x14ac:dyDescent="0.25">
      <c r="A3" s="1">
        <v>40940</v>
      </c>
      <c r="B3" s="2"/>
      <c r="C3" s="2"/>
      <c r="D3" s="2"/>
    </row>
    <row r="4" spans="1:7" x14ac:dyDescent="0.25">
      <c r="A4" s="1">
        <v>40969</v>
      </c>
      <c r="B4" s="2"/>
      <c r="C4" s="2"/>
      <c r="D4" s="2"/>
    </row>
    <row r="5" spans="1:7" x14ac:dyDescent="0.25">
      <c r="A5" s="1">
        <v>41000</v>
      </c>
      <c r="B5" s="2"/>
      <c r="C5" s="2"/>
      <c r="D5" s="2"/>
    </row>
    <row r="6" spans="1:7" x14ac:dyDescent="0.25">
      <c r="A6" s="1">
        <v>41030</v>
      </c>
      <c r="B6" s="2"/>
      <c r="C6" s="2"/>
      <c r="D6" s="2"/>
    </row>
    <row r="7" spans="1:7" x14ac:dyDescent="0.25">
      <c r="A7" s="1">
        <v>41061</v>
      </c>
      <c r="B7" s="2"/>
      <c r="C7" s="2"/>
      <c r="D7" s="2"/>
    </row>
    <row r="8" spans="1:7" x14ac:dyDescent="0.25">
      <c r="A8" s="1">
        <v>41091</v>
      </c>
      <c r="B8" s="2"/>
      <c r="C8" s="2"/>
      <c r="D8" s="2"/>
    </row>
    <row r="9" spans="1:7" x14ac:dyDescent="0.25">
      <c r="A9" s="1">
        <v>41122</v>
      </c>
      <c r="B9" s="2"/>
      <c r="C9" s="2"/>
      <c r="D9" s="2"/>
    </row>
    <row r="10" spans="1:7" x14ac:dyDescent="0.25">
      <c r="A10" s="1">
        <v>41153</v>
      </c>
      <c r="B10" s="2"/>
      <c r="C10" s="2"/>
      <c r="D10" s="2"/>
    </row>
    <row r="11" spans="1:7" x14ac:dyDescent="0.25">
      <c r="A11" s="1">
        <v>41183</v>
      </c>
      <c r="B11" s="2"/>
      <c r="C11" s="2"/>
      <c r="D11" s="2"/>
    </row>
    <row r="12" spans="1:7" x14ac:dyDescent="0.25">
      <c r="A12" s="1">
        <v>41214</v>
      </c>
      <c r="B12" s="2"/>
      <c r="C12" s="2"/>
      <c r="D12" s="2"/>
    </row>
    <row r="13" spans="1:7" x14ac:dyDescent="0.25">
      <c r="A13" s="1">
        <v>41244</v>
      </c>
      <c r="B13" s="2"/>
      <c r="C13" s="2"/>
      <c r="D13" s="2"/>
    </row>
    <row r="14" spans="1:7" x14ac:dyDescent="0.25">
      <c r="A14" s="1">
        <v>41275</v>
      </c>
      <c r="B14" s="2"/>
      <c r="C14" s="2"/>
      <c r="D14" s="2"/>
    </row>
    <row r="15" spans="1:7" x14ac:dyDescent="0.25">
      <c r="A15" s="1">
        <v>41306</v>
      </c>
      <c r="B15" s="2"/>
      <c r="C15" s="2"/>
      <c r="D15" s="2"/>
    </row>
    <row r="16" spans="1:7" x14ac:dyDescent="0.25">
      <c r="A16" s="1">
        <v>41334</v>
      </c>
      <c r="B16" s="2"/>
      <c r="C16" s="2"/>
      <c r="D16" s="2"/>
    </row>
    <row r="17" spans="1:4" x14ac:dyDescent="0.25">
      <c r="A17" s="1">
        <v>41365</v>
      </c>
      <c r="B17" s="2"/>
      <c r="C17" s="2"/>
      <c r="D17" s="2"/>
    </row>
    <row r="18" spans="1:4" x14ac:dyDescent="0.25">
      <c r="A18" s="1">
        <v>41395</v>
      </c>
      <c r="B18" s="2"/>
      <c r="C18" s="2"/>
      <c r="D18" s="2"/>
    </row>
    <row r="19" spans="1:4" x14ac:dyDescent="0.25">
      <c r="A19" s="1">
        <v>41426</v>
      </c>
      <c r="B19" s="2"/>
      <c r="C19" s="2"/>
      <c r="D19" s="2"/>
    </row>
    <row r="20" spans="1:4" x14ac:dyDescent="0.25">
      <c r="A20" s="1">
        <v>41456</v>
      </c>
      <c r="B20" s="2"/>
      <c r="C20" s="2"/>
      <c r="D20" s="2"/>
    </row>
    <row r="21" spans="1:4" x14ac:dyDescent="0.25">
      <c r="A21" s="1">
        <v>41487</v>
      </c>
      <c r="B21" s="2"/>
      <c r="C21" s="2"/>
      <c r="D21" s="2"/>
    </row>
    <row r="22" spans="1:4" x14ac:dyDescent="0.25">
      <c r="A22" s="1">
        <v>41518</v>
      </c>
      <c r="B22" s="2"/>
      <c r="C22" s="2"/>
      <c r="D22" s="2"/>
    </row>
    <row r="23" spans="1:4" x14ac:dyDescent="0.25">
      <c r="A23" s="1">
        <v>41548</v>
      </c>
      <c r="B23" s="2"/>
      <c r="C23" s="2"/>
      <c r="D23" s="2"/>
    </row>
    <row r="24" spans="1:4" x14ac:dyDescent="0.25">
      <c r="A24" s="1">
        <v>41579</v>
      </c>
      <c r="B24" s="2"/>
      <c r="C24" s="2"/>
      <c r="D24" s="2"/>
    </row>
    <row r="25" spans="1:4" x14ac:dyDescent="0.25">
      <c r="A25" s="1">
        <v>41609</v>
      </c>
      <c r="B25" s="2"/>
      <c r="C25" s="2"/>
      <c r="D25" s="2"/>
    </row>
    <row r="26" spans="1:4" x14ac:dyDescent="0.25">
      <c r="A26" s="1">
        <v>41640</v>
      </c>
      <c r="B26" s="2"/>
      <c r="C26" s="2"/>
      <c r="D26" s="2"/>
    </row>
    <row r="27" spans="1:4" x14ac:dyDescent="0.25">
      <c r="A27" s="1">
        <v>41671</v>
      </c>
      <c r="B27" s="2"/>
      <c r="C27" s="2"/>
      <c r="D27" s="2"/>
    </row>
    <row r="28" spans="1:4" x14ac:dyDescent="0.25">
      <c r="A28" s="1">
        <v>41699</v>
      </c>
      <c r="B28" s="2"/>
      <c r="C28" s="2"/>
      <c r="D28" s="2"/>
    </row>
    <row r="29" spans="1:4" x14ac:dyDescent="0.25">
      <c r="A29" s="1">
        <v>41730</v>
      </c>
      <c r="B29" s="2"/>
      <c r="C29" s="2"/>
      <c r="D29" s="2"/>
    </row>
    <row r="30" spans="1:4" x14ac:dyDescent="0.25">
      <c r="A30" s="1">
        <v>41760</v>
      </c>
      <c r="B30" s="2"/>
      <c r="C30" s="2"/>
      <c r="D30" s="2"/>
    </row>
    <row r="31" spans="1:4" x14ac:dyDescent="0.25">
      <c r="A31" s="1">
        <v>41791</v>
      </c>
      <c r="B31" s="2"/>
      <c r="C31" s="2"/>
      <c r="D31" s="2"/>
    </row>
    <row r="32" spans="1:4" x14ac:dyDescent="0.25">
      <c r="A32" s="1">
        <v>41821</v>
      </c>
      <c r="B32" s="2"/>
      <c r="C32" s="2"/>
      <c r="D32" s="2"/>
    </row>
    <row r="33" spans="1:9" x14ac:dyDescent="0.25">
      <c r="A33" s="1">
        <v>41852</v>
      </c>
      <c r="B33" s="2"/>
      <c r="C33" s="2"/>
      <c r="D33" s="2"/>
    </row>
    <row r="34" spans="1:9" x14ac:dyDescent="0.25">
      <c r="A34" s="1">
        <v>41883</v>
      </c>
      <c r="B34" s="2"/>
      <c r="C34" s="2"/>
      <c r="D34" s="2"/>
    </row>
    <row r="35" spans="1:9" x14ac:dyDescent="0.25">
      <c r="A35" s="1">
        <v>41913</v>
      </c>
      <c r="B35" s="2"/>
      <c r="C35" s="2"/>
      <c r="D35" s="2"/>
    </row>
    <row r="36" spans="1:9" x14ac:dyDescent="0.25">
      <c r="A36" s="1">
        <v>41944</v>
      </c>
      <c r="B36" s="2"/>
      <c r="C36" s="2"/>
      <c r="D36" s="2"/>
    </row>
    <row r="37" spans="1:9" x14ac:dyDescent="0.25">
      <c r="A37" s="1">
        <v>41974</v>
      </c>
      <c r="B37" s="2"/>
      <c r="C37" s="2"/>
      <c r="D37" s="2"/>
    </row>
    <row r="38" spans="1:9" x14ac:dyDescent="0.25">
      <c r="A38" s="1">
        <v>42005</v>
      </c>
      <c r="B38" s="2"/>
      <c r="C38" s="2"/>
      <c r="D38" s="2"/>
      <c r="H38" s="4"/>
      <c r="I38" s="4"/>
    </row>
    <row r="39" spans="1:9" x14ac:dyDescent="0.25">
      <c r="A39" s="1">
        <v>42036</v>
      </c>
      <c r="B39" s="2"/>
      <c r="C39" s="2"/>
      <c r="D39" s="2"/>
      <c r="H39" s="4"/>
      <c r="I39" s="4"/>
    </row>
    <row r="40" spans="1:9" x14ac:dyDescent="0.25">
      <c r="A40" s="1">
        <v>42064</v>
      </c>
      <c r="B40" s="2"/>
      <c r="C40" s="2"/>
      <c r="D40" s="2"/>
      <c r="H40" s="4"/>
      <c r="I40" s="4"/>
    </row>
    <row r="41" spans="1:9" x14ac:dyDescent="0.25">
      <c r="A41" s="1">
        <v>42095</v>
      </c>
      <c r="B41" s="2"/>
      <c r="C41" s="2"/>
      <c r="D41" s="2"/>
      <c r="H41" s="4"/>
      <c r="I41" s="4"/>
    </row>
    <row r="42" spans="1:9" x14ac:dyDescent="0.25">
      <c r="A42" s="1">
        <v>42125</v>
      </c>
      <c r="B42" s="2"/>
      <c r="C42" s="2"/>
      <c r="D42" s="2"/>
      <c r="H42" s="4"/>
      <c r="I42" s="4"/>
    </row>
    <row r="43" spans="1:9" x14ac:dyDescent="0.25">
      <c r="A43" s="1">
        <v>42156</v>
      </c>
      <c r="B43" s="2"/>
      <c r="C43" s="2"/>
      <c r="D43" s="2"/>
      <c r="H43" s="4"/>
      <c r="I43" s="4"/>
    </row>
    <row r="44" spans="1:9" x14ac:dyDescent="0.25">
      <c r="A44" s="1">
        <v>42186</v>
      </c>
      <c r="B44" s="2"/>
      <c r="C44" s="2"/>
      <c r="D44" s="2"/>
      <c r="H44" s="4"/>
      <c r="I44" s="4"/>
    </row>
    <row r="45" spans="1:9" x14ac:dyDescent="0.25">
      <c r="A45" s="1">
        <v>42217</v>
      </c>
      <c r="B45" s="2"/>
      <c r="C45" s="2"/>
      <c r="D45" s="2"/>
      <c r="H45" s="4"/>
      <c r="I45" s="4"/>
    </row>
    <row r="46" spans="1:9" x14ac:dyDescent="0.25">
      <c r="A46" s="1">
        <v>42248</v>
      </c>
      <c r="B46" s="2"/>
      <c r="C46" s="2"/>
      <c r="D46" s="2"/>
      <c r="H46" s="4"/>
      <c r="I46" s="4"/>
    </row>
    <row r="47" spans="1:9" x14ac:dyDescent="0.25">
      <c r="A47" s="1">
        <v>42278</v>
      </c>
      <c r="B47" s="2"/>
      <c r="C47" s="2"/>
      <c r="D47" s="2"/>
      <c r="H47" s="4"/>
      <c r="I47" s="4"/>
    </row>
    <row r="48" spans="1:9" x14ac:dyDescent="0.25">
      <c r="A48" s="1">
        <v>42309</v>
      </c>
      <c r="B48" s="2"/>
      <c r="C48" s="2"/>
      <c r="D48" s="2"/>
      <c r="H48" s="4"/>
      <c r="I48" s="4"/>
    </row>
    <row r="49" spans="1:11" x14ac:dyDescent="0.25">
      <c r="A49" s="1">
        <v>42339</v>
      </c>
      <c r="B49" s="2"/>
      <c r="C49" s="2"/>
      <c r="D49" s="2"/>
      <c r="E49" s="2"/>
      <c r="H49" s="4"/>
      <c r="I49" s="4"/>
    </row>
    <row r="50" spans="1:11" x14ac:dyDescent="0.25">
      <c r="A50" s="1">
        <v>42370</v>
      </c>
      <c r="B50" s="2"/>
      <c r="C50" s="2"/>
      <c r="D50" s="2"/>
      <c r="E50" s="2"/>
      <c r="G50" s="2"/>
      <c r="H50" s="2"/>
      <c r="I50" s="2"/>
      <c r="J50" s="2"/>
      <c r="K50" s="2"/>
    </row>
    <row r="51" spans="1:11" x14ac:dyDescent="0.25">
      <c r="A51" s="1">
        <v>42401</v>
      </c>
      <c r="B51" s="2"/>
      <c r="C51" s="2"/>
      <c r="D51" s="2"/>
      <c r="E51" s="2"/>
      <c r="G51" s="2"/>
      <c r="H51" s="2"/>
      <c r="I51" s="2"/>
      <c r="J51" s="2"/>
      <c r="K51" s="2"/>
    </row>
    <row r="52" spans="1:11" x14ac:dyDescent="0.25">
      <c r="A52" s="1">
        <v>42430</v>
      </c>
      <c r="B52" s="2"/>
      <c r="C52" s="2"/>
      <c r="D52" s="2"/>
      <c r="E52" s="2"/>
      <c r="G52" s="2"/>
      <c r="H52" s="2"/>
      <c r="I52" s="2"/>
      <c r="J52" s="2"/>
      <c r="K52" s="2"/>
    </row>
    <row r="53" spans="1:11" x14ac:dyDescent="0.25">
      <c r="A53" s="1">
        <v>42461</v>
      </c>
      <c r="B53" s="2"/>
      <c r="C53" s="2"/>
      <c r="D53" s="2"/>
      <c r="E53" s="2"/>
      <c r="G53" s="2"/>
      <c r="H53" s="2"/>
      <c r="I53" s="2"/>
      <c r="J53" s="2"/>
      <c r="K53" s="2"/>
    </row>
    <row r="54" spans="1:11" x14ac:dyDescent="0.25">
      <c r="A54" s="1">
        <v>42491</v>
      </c>
      <c r="B54" s="2"/>
      <c r="C54" s="2"/>
      <c r="D54" s="2"/>
      <c r="E54" s="2"/>
      <c r="G54" s="2"/>
      <c r="H54" s="2"/>
      <c r="I54" s="2"/>
      <c r="J54" s="2"/>
      <c r="K54" s="2"/>
    </row>
    <row r="55" spans="1:11" x14ac:dyDescent="0.25">
      <c r="A55" s="1">
        <v>42522</v>
      </c>
      <c r="B55" s="2"/>
      <c r="C55" s="2"/>
      <c r="D55" s="2"/>
      <c r="E55" s="2"/>
      <c r="G55" s="2"/>
      <c r="H55" s="2"/>
      <c r="I55" s="2"/>
      <c r="J55" s="2"/>
      <c r="K55" s="2"/>
    </row>
    <row r="56" spans="1:11" x14ac:dyDescent="0.25">
      <c r="A56" s="1">
        <v>42552</v>
      </c>
      <c r="B56" s="2"/>
      <c r="C56" s="2"/>
      <c r="D56" s="2"/>
      <c r="E56" s="2"/>
      <c r="G56" s="2"/>
      <c r="H56" s="2"/>
      <c r="I56" s="2"/>
      <c r="J56" s="2"/>
      <c r="K56" s="2"/>
    </row>
    <row r="57" spans="1:11" x14ac:dyDescent="0.25">
      <c r="A57" s="1">
        <v>42583</v>
      </c>
      <c r="B57" s="2"/>
      <c r="C57" s="2"/>
      <c r="D57" s="2"/>
      <c r="E57" s="2"/>
      <c r="G57" s="2"/>
      <c r="H57" s="2"/>
      <c r="I57" s="2"/>
      <c r="J57" s="2"/>
      <c r="K57" s="2"/>
    </row>
    <row r="58" spans="1:11" x14ac:dyDescent="0.25">
      <c r="A58" s="1">
        <v>42614</v>
      </c>
      <c r="B58" s="2"/>
      <c r="C58" s="2"/>
      <c r="D58" s="2"/>
      <c r="E58" s="2"/>
      <c r="G58" s="2"/>
      <c r="H58" s="2"/>
      <c r="I58" s="2"/>
      <c r="J58" s="2"/>
      <c r="K58" s="2"/>
    </row>
    <row r="59" spans="1:11" x14ac:dyDescent="0.25">
      <c r="A59" s="1">
        <v>42644</v>
      </c>
      <c r="B59" s="2"/>
      <c r="C59" s="2"/>
      <c r="D59" s="2"/>
      <c r="E59" s="2"/>
      <c r="G59" s="2"/>
      <c r="H59" s="2"/>
      <c r="I59" s="2"/>
      <c r="J59" s="2"/>
      <c r="K59" s="2"/>
    </row>
    <row r="60" spans="1:11" x14ac:dyDescent="0.25">
      <c r="A60" s="1">
        <v>42675</v>
      </c>
      <c r="B60" s="2"/>
      <c r="C60" s="2"/>
      <c r="D60" s="2"/>
      <c r="E60" s="2"/>
      <c r="G60" s="2"/>
      <c r="H60" s="2"/>
      <c r="I60" s="2"/>
      <c r="J60" s="2"/>
      <c r="K60" s="2"/>
    </row>
    <row r="61" spans="1:11" x14ac:dyDescent="0.25">
      <c r="A61" s="1">
        <v>42705</v>
      </c>
      <c r="B61" s="2"/>
      <c r="C61" s="2"/>
      <c r="D61" s="2"/>
      <c r="E61" s="2"/>
      <c r="G61" s="2"/>
      <c r="H61" s="2"/>
      <c r="I61" s="2"/>
      <c r="J61" s="2"/>
      <c r="K61" s="2"/>
    </row>
    <row r="62" spans="1:11" x14ac:dyDescent="0.25">
      <c r="A62" s="1">
        <v>42736</v>
      </c>
      <c r="B62" s="2"/>
      <c r="C62" s="2"/>
      <c r="D62" s="2"/>
      <c r="E62" s="2"/>
      <c r="G62" s="2"/>
      <c r="H62" s="2"/>
      <c r="I62" s="2"/>
      <c r="J62" s="2"/>
      <c r="K62" s="2"/>
    </row>
    <row r="63" spans="1:11" x14ac:dyDescent="0.25">
      <c r="A63" s="1">
        <v>42767</v>
      </c>
      <c r="B63" s="2"/>
      <c r="C63" s="2"/>
      <c r="D63" s="2"/>
      <c r="E63" s="2"/>
      <c r="G63" s="2"/>
      <c r="H63" s="2"/>
      <c r="I63" s="2"/>
      <c r="J63" s="2"/>
      <c r="K63" s="2"/>
    </row>
    <row r="64" spans="1:11" x14ac:dyDescent="0.25">
      <c r="A64" s="1">
        <v>42795</v>
      </c>
      <c r="B64" s="2"/>
      <c r="C64" s="2"/>
      <c r="D64" s="2"/>
      <c r="E64" s="2"/>
      <c r="G64" s="2"/>
      <c r="H64" s="2"/>
      <c r="I64" s="2"/>
      <c r="J64" s="2"/>
      <c r="K64" s="2"/>
    </row>
    <row r="65" spans="1:11" x14ac:dyDescent="0.25">
      <c r="A65" s="1">
        <v>42826</v>
      </c>
      <c r="B65" s="2"/>
      <c r="C65" s="2"/>
      <c r="D65" s="2"/>
      <c r="E65" s="2"/>
      <c r="G65" s="2"/>
      <c r="H65" s="2"/>
      <c r="I65" s="2"/>
      <c r="J65" s="2"/>
      <c r="K65" s="2"/>
    </row>
    <row r="66" spans="1:11" x14ac:dyDescent="0.25">
      <c r="A66" s="1">
        <v>42856</v>
      </c>
      <c r="B66" s="2"/>
      <c r="C66" s="2"/>
      <c r="D66" s="2"/>
      <c r="E66" s="2"/>
      <c r="G66" s="2"/>
      <c r="H66" s="2"/>
      <c r="I66" s="2"/>
      <c r="J66" s="2"/>
      <c r="K66" s="2"/>
    </row>
    <row r="67" spans="1:11" x14ac:dyDescent="0.25">
      <c r="A67" s="1">
        <v>42887</v>
      </c>
      <c r="B67" s="2"/>
      <c r="C67" s="2"/>
      <c r="D67" s="2"/>
      <c r="E67" s="2"/>
      <c r="G67" s="2"/>
      <c r="H67" s="2"/>
      <c r="I67" s="2"/>
      <c r="J67" s="2"/>
      <c r="K67" s="2"/>
    </row>
    <row r="68" spans="1:11" x14ac:dyDescent="0.25">
      <c r="A68" s="1">
        <v>42917</v>
      </c>
      <c r="B68" s="2"/>
      <c r="C68" s="2"/>
      <c r="D68" s="2"/>
      <c r="E68" s="2"/>
      <c r="G68" s="2"/>
      <c r="H68" s="2"/>
      <c r="I68" s="2"/>
      <c r="J68" s="2"/>
      <c r="K68" s="2"/>
    </row>
    <row r="69" spans="1:11" x14ac:dyDescent="0.25">
      <c r="A69" s="1">
        <v>42948</v>
      </c>
      <c r="B69" s="2"/>
      <c r="C69" s="2"/>
      <c r="D69" s="2"/>
      <c r="E69" s="2"/>
      <c r="G69" s="2"/>
      <c r="H69" s="2"/>
      <c r="I69" s="2"/>
      <c r="J69" s="2"/>
      <c r="K69" s="2"/>
    </row>
    <row r="70" spans="1:11" x14ac:dyDescent="0.25">
      <c r="A70" s="1">
        <v>42979</v>
      </c>
      <c r="B70" s="2"/>
      <c r="C70" s="2"/>
      <c r="D70" s="2"/>
      <c r="E70" s="2"/>
      <c r="G70" s="2"/>
      <c r="H70" s="2"/>
      <c r="I70" s="2"/>
      <c r="J70" s="2"/>
      <c r="K70" s="2"/>
    </row>
    <row r="71" spans="1:11" x14ac:dyDescent="0.25">
      <c r="A71" s="1">
        <v>43009</v>
      </c>
      <c r="B71" s="2"/>
      <c r="C71" s="2"/>
      <c r="D71" s="2"/>
      <c r="E71" s="2"/>
      <c r="G71" s="2"/>
      <c r="H71" s="2"/>
      <c r="I71" s="2"/>
      <c r="J71" s="2"/>
      <c r="K71" s="2"/>
    </row>
    <row r="72" spans="1:11" x14ac:dyDescent="0.25">
      <c r="A72" s="1">
        <v>43040</v>
      </c>
      <c r="B72" s="2"/>
      <c r="C72" s="2"/>
      <c r="D72" s="2"/>
      <c r="E72" s="2"/>
      <c r="G72" s="2"/>
      <c r="H72" s="2"/>
      <c r="I72" s="2"/>
      <c r="J72" s="2"/>
      <c r="K72" s="2"/>
    </row>
    <row r="73" spans="1:11" x14ac:dyDescent="0.25">
      <c r="A73" s="1">
        <v>43070</v>
      </c>
      <c r="B73" s="2"/>
      <c r="C73" s="2"/>
      <c r="D73" s="2"/>
      <c r="E73" s="2"/>
      <c r="G73" s="2"/>
      <c r="H73" s="2"/>
      <c r="I73" s="2"/>
      <c r="J73" s="2"/>
      <c r="K73" s="2"/>
    </row>
    <row r="74" spans="1:11" x14ac:dyDescent="0.25">
      <c r="A74" s="1">
        <v>43101</v>
      </c>
      <c r="B74" s="2"/>
      <c r="C74" s="2"/>
      <c r="D74" s="2"/>
      <c r="E74" s="2"/>
      <c r="G74" s="2"/>
      <c r="H74" s="2"/>
      <c r="I74" s="2"/>
      <c r="J74" s="2"/>
      <c r="K74" s="2"/>
    </row>
    <row r="75" spans="1:11" x14ac:dyDescent="0.25">
      <c r="A75" s="1">
        <v>43132</v>
      </c>
      <c r="B75" s="2"/>
      <c r="C75" s="2"/>
      <c r="D75" s="2"/>
      <c r="E75" s="2"/>
      <c r="G75" s="2"/>
      <c r="H75" s="2"/>
      <c r="I75" s="2"/>
      <c r="J75" s="2"/>
      <c r="K75" s="2"/>
    </row>
    <row r="76" spans="1:11" x14ac:dyDescent="0.25">
      <c r="A76" s="1">
        <v>43160</v>
      </c>
      <c r="B76" s="2"/>
      <c r="C76" s="2"/>
      <c r="D76" s="2"/>
      <c r="E76" s="2"/>
      <c r="G76" s="2"/>
      <c r="H76" s="2"/>
      <c r="I76" s="2"/>
      <c r="J76" s="2"/>
      <c r="K76" s="2"/>
    </row>
    <row r="77" spans="1:11" x14ac:dyDescent="0.25">
      <c r="A77" s="1">
        <v>43191</v>
      </c>
      <c r="B77" s="2"/>
      <c r="C77" s="2"/>
      <c r="D77" s="2"/>
      <c r="E77" s="2"/>
      <c r="G77" s="2"/>
      <c r="H77" s="2"/>
      <c r="I77" s="2"/>
      <c r="J77" s="2"/>
      <c r="K77" s="2"/>
    </row>
    <row r="78" spans="1:11" x14ac:dyDescent="0.25">
      <c r="A78" s="1">
        <v>43221</v>
      </c>
      <c r="B78" s="2"/>
      <c r="C78" s="2"/>
      <c r="D78" s="2"/>
      <c r="E78" s="2"/>
      <c r="G78" s="2"/>
      <c r="H78" s="2"/>
      <c r="I78" s="2"/>
      <c r="J78" s="2"/>
      <c r="K78" s="2"/>
    </row>
    <row r="79" spans="1:11" x14ac:dyDescent="0.25">
      <c r="A79" s="1">
        <v>43252</v>
      </c>
      <c r="B79" s="2"/>
      <c r="C79" s="2"/>
      <c r="D79" s="2"/>
      <c r="E79" s="2"/>
      <c r="G79" s="2"/>
      <c r="H79" s="2"/>
      <c r="I79" s="2"/>
      <c r="J79" s="2"/>
      <c r="K79" s="2"/>
    </row>
    <row r="80" spans="1:11" x14ac:dyDescent="0.25">
      <c r="A80" s="1">
        <v>43282</v>
      </c>
      <c r="B80" s="2"/>
      <c r="C80" s="2"/>
      <c r="D80" s="2"/>
      <c r="E80" s="2"/>
      <c r="G80" s="2"/>
      <c r="H80" s="2"/>
      <c r="I80" s="2"/>
      <c r="J80" s="2"/>
      <c r="K80" s="2"/>
    </row>
    <row r="81" spans="1:13" x14ac:dyDescent="0.25">
      <c r="A81" s="1">
        <v>43313</v>
      </c>
      <c r="B81" s="2"/>
      <c r="C81" s="2"/>
      <c r="D81" s="2"/>
      <c r="E81" s="2"/>
      <c r="G81" s="2"/>
      <c r="H81" s="2"/>
      <c r="I81" s="2"/>
      <c r="J81" s="2"/>
      <c r="K81" s="2"/>
    </row>
    <row r="82" spans="1:13" x14ac:dyDescent="0.25">
      <c r="A82" s="1">
        <v>43344</v>
      </c>
      <c r="B82" s="2"/>
      <c r="C82" s="2"/>
      <c r="D82" s="2"/>
      <c r="E82" s="2"/>
      <c r="G82" s="2"/>
      <c r="H82" s="2"/>
      <c r="I82" s="2"/>
      <c r="J82" s="2"/>
      <c r="K82" s="2"/>
    </row>
    <row r="83" spans="1:13" x14ac:dyDescent="0.25">
      <c r="A83" s="1">
        <v>43374</v>
      </c>
      <c r="B83" s="2"/>
      <c r="C83" s="2"/>
      <c r="D83" s="2"/>
      <c r="E83" s="2"/>
      <c r="G83" s="2"/>
      <c r="H83" s="2"/>
      <c r="I83" s="2"/>
      <c r="J83" s="2"/>
      <c r="K83" s="2"/>
    </row>
    <row r="84" spans="1:13" x14ac:dyDescent="0.25">
      <c r="A84" s="1">
        <v>43405</v>
      </c>
      <c r="B84" s="2"/>
      <c r="C84" s="2"/>
      <c r="D84" s="2"/>
      <c r="E84" s="2"/>
      <c r="G84" s="2"/>
      <c r="H84" s="2"/>
      <c r="I84" s="2"/>
      <c r="J84" s="2"/>
      <c r="K84" s="2"/>
    </row>
    <row r="85" spans="1:13" x14ac:dyDescent="0.25">
      <c r="A85" s="1">
        <v>43435</v>
      </c>
      <c r="B85" s="2"/>
      <c r="C85" s="2"/>
      <c r="D85" s="2"/>
      <c r="E85" s="2"/>
      <c r="G85" s="2"/>
      <c r="H85" s="2"/>
      <c r="I85" s="2"/>
      <c r="J85" s="2"/>
      <c r="K85" s="2"/>
    </row>
    <row r="86" spans="1:13" x14ac:dyDescent="0.25">
      <c r="A86" s="1">
        <v>43466</v>
      </c>
      <c r="B86" s="4">
        <v>77821</v>
      </c>
      <c r="C86" s="2">
        <v>73070</v>
      </c>
      <c r="D86" s="2">
        <v>1164</v>
      </c>
      <c r="E86" s="2">
        <v>468</v>
      </c>
      <c r="F86" s="2">
        <f t="shared" ref="F86:F91" si="0">C86+E86</f>
        <v>73538</v>
      </c>
      <c r="G86" s="2">
        <f t="shared" ref="G86:G91" si="1">F86+D86</f>
        <v>74702</v>
      </c>
      <c r="H86" s="3">
        <f t="shared" ref="H86:H91" si="2">G86/B86</f>
        <v>0.9599208439881266</v>
      </c>
      <c r="I86" s="2"/>
      <c r="J86" s="2"/>
      <c r="K86" s="2"/>
      <c r="L86" s="30" t="s">
        <v>16</v>
      </c>
    </row>
    <row r="87" spans="1:13" x14ac:dyDescent="0.25">
      <c r="A87" s="1">
        <v>43497</v>
      </c>
      <c r="B87" s="4">
        <v>54663</v>
      </c>
      <c r="C87" s="2">
        <v>51344</v>
      </c>
      <c r="D87" s="2">
        <v>1155</v>
      </c>
      <c r="E87" s="2">
        <v>358</v>
      </c>
      <c r="F87" s="2">
        <f t="shared" si="0"/>
        <v>51702</v>
      </c>
      <c r="G87" s="2">
        <f t="shared" si="1"/>
        <v>52857</v>
      </c>
      <c r="H87" s="3">
        <f t="shared" si="2"/>
        <v>0.96696119861698038</v>
      </c>
      <c r="I87" s="2"/>
      <c r="J87" s="2"/>
      <c r="K87" s="2"/>
    </row>
    <row r="88" spans="1:13" x14ac:dyDescent="0.25">
      <c r="A88" s="1">
        <v>43525</v>
      </c>
      <c r="B88" s="4">
        <v>56727</v>
      </c>
      <c r="C88" s="2">
        <v>52907</v>
      </c>
      <c r="D88" s="2">
        <v>1072</v>
      </c>
      <c r="E88" s="2">
        <v>125</v>
      </c>
      <c r="F88" s="2">
        <f t="shared" si="0"/>
        <v>53032</v>
      </c>
      <c r="G88" s="2">
        <f t="shared" si="1"/>
        <v>54104</v>
      </c>
      <c r="H88" s="3">
        <f t="shared" si="2"/>
        <v>0.9537609956458124</v>
      </c>
      <c r="I88" s="2"/>
      <c r="J88" s="2"/>
      <c r="K88" s="2"/>
    </row>
    <row r="89" spans="1:13" x14ac:dyDescent="0.25">
      <c r="A89" s="1">
        <v>43556</v>
      </c>
      <c r="B89" s="4">
        <v>56424</v>
      </c>
      <c r="C89" s="2">
        <v>47668</v>
      </c>
      <c r="D89" s="2">
        <v>1074</v>
      </c>
      <c r="E89" s="2">
        <v>143</v>
      </c>
      <c r="F89" s="2">
        <f t="shared" si="0"/>
        <v>47811</v>
      </c>
      <c r="G89" s="2">
        <f t="shared" si="1"/>
        <v>48885</v>
      </c>
      <c r="H89" s="3">
        <f t="shared" si="2"/>
        <v>0.86638664398128451</v>
      </c>
      <c r="I89" s="2"/>
      <c r="J89" s="2"/>
      <c r="K89" s="2"/>
    </row>
    <row r="90" spans="1:13" x14ac:dyDescent="0.25">
      <c r="A90" s="1">
        <v>43586</v>
      </c>
      <c r="B90" s="4">
        <v>57043</v>
      </c>
      <c r="C90" s="2">
        <v>45266</v>
      </c>
      <c r="D90" s="2">
        <v>39</v>
      </c>
      <c r="E90" s="2">
        <v>123</v>
      </c>
      <c r="F90" s="2">
        <f t="shared" si="0"/>
        <v>45389</v>
      </c>
      <c r="G90" s="2">
        <f t="shared" si="1"/>
        <v>45428</v>
      </c>
      <c r="H90" s="3">
        <f t="shared" si="2"/>
        <v>0.79638167698052342</v>
      </c>
      <c r="I90" s="2"/>
      <c r="J90" s="2"/>
      <c r="K90" s="2"/>
    </row>
    <row r="91" spans="1:13" x14ac:dyDescent="0.25">
      <c r="A91" s="1">
        <v>43617</v>
      </c>
      <c r="B91" s="4">
        <v>57819</v>
      </c>
      <c r="C91" s="2">
        <v>47416</v>
      </c>
      <c r="D91" s="2">
        <v>906</v>
      </c>
      <c r="E91" s="2">
        <v>317</v>
      </c>
      <c r="F91" s="2">
        <f t="shared" si="0"/>
        <v>47733</v>
      </c>
      <c r="G91" s="2">
        <f t="shared" si="1"/>
        <v>48639</v>
      </c>
      <c r="H91" s="3">
        <f t="shared" si="2"/>
        <v>0.8412286618585586</v>
      </c>
      <c r="I91" s="2"/>
      <c r="J91" s="2"/>
      <c r="K91" s="2"/>
    </row>
    <row r="92" spans="1:13" x14ac:dyDescent="0.25">
      <c r="A92" s="1">
        <v>43647</v>
      </c>
      <c r="B92" s="2"/>
      <c r="C92" s="2"/>
      <c r="D92" s="2"/>
      <c r="E92" s="2"/>
      <c r="G92" s="2"/>
      <c r="H92" s="2"/>
      <c r="I92" s="4" t="s">
        <v>34</v>
      </c>
      <c r="J92" s="2"/>
      <c r="K92" s="2"/>
      <c r="M92" s="2"/>
    </row>
    <row r="93" spans="1:13" x14ac:dyDescent="0.25">
      <c r="A93" s="1">
        <v>43678</v>
      </c>
      <c r="B93" s="4">
        <f>55790+905+0+75</f>
        <v>56770</v>
      </c>
      <c r="C93" s="2">
        <v>52271</v>
      </c>
      <c r="D93" s="2">
        <v>905</v>
      </c>
      <c r="E93" s="2">
        <v>75</v>
      </c>
      <c r="F93" s="2">
        <f t="shared" ref="F93:F101" si="3">C93+E93</f>
        <v>52346</v>
      </c>
      <c r="G93" s="2">
        <f t="shared" ref="G93:G101" si="4">F93+D93</f>
        <v>53251</v>
      </c>
      <c r="H93" s="3">
        <f t="shared" ref="H93:H101" si="5">G93/B93</f>
        <v>0.93801303505372557</v>
      </c>
      <c r="I93" s="2"/>
      <c r="J93" s="2"/>
      <c r="K93" s="2"/>
    </row>
    <row r="94" spans="1:13" x14ac:dyDescent="0.25">
      <c r="A94" s="1">
        <v>43709</v>
      </c>
      <c r="B94" s="4">
        <v>53933</v>
      </c>
      <c r="C94" s="2">
        <v>50044</v>
      </c>
      <c r="D94" s="2">
        <v>1013</v>
      </c>
      <c r="E94" s="2">
        <v>643</v>
      </c>
      <c r="F94" s="2">
        <f t="shared" si="3"/>
        <v>50687</v>
      </c>
      <c r="G94" s="2">
        <f t="shared" si="4"/>
        <v>51700</v>
      </c>
      <c r="H94" s="3">
        <f t="shared" si="5"/>
        <v>0.95859677748317351</v>
      </c>
      <c r="I94" s="2"/>
      <c r="J94" s="2"/>
      <c r="K94" s="2"/>
    </row>
    <row r="95" spans="1:13" x14ac:dyDescent="0.25">
      <c r="A95" s="1">
        <v>43739</v>
      </c>
      <c r="B95" s="4">
        <f>58684+1131+0+1785</f>
        <v>61600</v>
      </c>
      <c r="C95" s="2">
        <v>52324</v>
      </c>
      <c r="D95" s="2">
        <v>1131</v>
      </c>
      <c r="E95" s="2">
        <v>1785</v>
      </c>
      <c r="F95" s="2">
        <f t="shared" si="3"/>
        <v>54109</v>
      </c>
      <c r="G95" s="2">
        <f t="shared" si="4"/>
        <v>55240</v>
      </c>
      <c r="H95" s="3">
        <f t="shared" si="5"/>
        <v>0.89675324675324675</v>
      </c>
      <c r="I95" s="2"/>
      <c r="J95" s="2"/>
      <c r="K95" s="2"/>
    </row>
    <row r="96" spans="1:13" x14ac:dyDescent="0.25">
      <c r="A96" s="1">
        <v>43770</v>
      </c>
      <c r="B96" s="4">
        <f>54627+1146+0+1184</f>
        <v>56957</v>
      </c>
      <c r="C96" s="2">
        <v>45829</v>
      </c>
      <c r="D96" s="2">
        <v>1146</v>
      </c>
      <c r="E96" s="2">
        <v>1184</v>
      </c>
      <c r="F96" s="2">
        <f t="shared" si="3"/>
        <v>47013</v>
      </c>
      <c r="G96" s="2">
        <f t="shared" si="4"/>
        <v>48159</v>
      </c>
      <c r="H96" s="3">
        <f t="shared" si="5"/>
        <v>0.8455325947644714</v>
      </c>
      <c r="I96" s="2"/>
      <c r="J96" s="2"/>
      <c r="K96" s="2"/>
    </row>
    <row r="97" spans="1:13" x14ac:dyDescent="0.25">
      <c r="A97" s="1">
        <v>43800</v>
      </c>
      <c r="B97" s="4">
        <f>73041+1192+0+1346</f>
        <v>75579</v>
      </c>
      <c r="C97" s="2">
        <v>68927</v>
      </c>
      <c r="D97" s="2">
        <v>1192</v>
      </c>
      <c r="E97" s="2">
        <v>1346</v>
      </c>
      <c r="F97" s="2">
        <f t="shared" si="3"/>
        <v>70273</v>
      </c>
      <c r="G97" s="2">
        <f t="shared" si="4"/>
        <v>71465</v>
      </c>
      <c r="H97" s="3">
        <f t="shared" si="5"/>
        <v>0.94556689027375329</v>
      </c>
      <c r="I97" s="3">
        <f>AVERAGE(H86:H97)</f>
        <v>0.90628205139996887</v>
      </c>
      <c r="J97" s="2">
        <f>AVERAGE(B86:B97)</f>
        <v>60485.090909090912</v>
      </c>
      <c r="K97" s="2">
        <f>AVERAGE(G86:G97)</f>
        <v>54948.181818181816</v>
      </c>
    </row>
    <row r="98" spans="1:13" x14ac:dyDescent="0.25">
      <c r="A98" s="1">
        <v>43831</v>
      </c>
      <c r="B98" s="4">
        <f>65397+1158+0+2674</f>
        <v>69229</v>
      </c>
      <c r="C98" s="2">
        <v>61995</v>
      </c>
      <c r="D98" s="2">
        <v>1158</v>
      </c>
      <c r="E98" s="2">
        <v>2674</v>
      </c>
      <c r="F98" s="2">
        <f t="shared" si="3"/>
        <v>64669</v>
      </c>
      <c r="G98" s="2">
        <f t="shared" si="4"/>
        <v>65827</v>
      </c>
      <c r="H98" s="3">
        <f t="shared" si="5"/>
        <v>0.9508587441679065</v>
      </c>
      <c r="I98" s="2"/>
      <c r="J98" s="2"/>
      <c r="K98" s="2"/>
      <c r="L98" s="77"/>
    </row>
    <row r="99" spans="1:13" x14ac:dyDescent="0.25">
      <c r="A99" s="1">
        <v>43862</v>
      </c>
      <c r="B99" s="4">
        <f>30877+699+0+411+15078+139+0+38</f>
        <v>47242</v>
      </c>
      <c r="C99" s="2">
        <f>29032+13795</f>
        <v>42827</v>
      </c>
      <c r="D99" s="2">
        <f>699+139</f>
        <v>838</v>
      </c>
      <c r="E99" s="2">
        <f>411+38</f>
        <v>449</v>
      </c>
      <c r="F99" s="2">
        <f t="shared" si="3"/>
        <v>43276</v>
      </c>
      <c r="G99" s="2">
        <f t="shared" si="4"/>
        <v>44114</v>
      </c>
      <c r="H99" s="3">
        <f t="shared" si="5"/>
        <v>0.93378773125608572</v>
      </c>
      <c r="I99" s="2"/>
      <c r="J99" s="2"/>
      <c r="K99" s="2"/>
      <c r="L99" s="3"/>
    </row>
    <row r="100" spans="1:13" x14ac:dyDescent="0.25">
      <c r="A100" s="1">
        <v>43891</v>
      </c>
      <c r="B100" s="4">
        <f>32213+937+0+356</f>
        <v>33506</v>
      </c>
      <c r="C100" s="2">
        <v>29846</v>
      </c>
      <c r="D100" s="2">
        <v>937</v>
      </c>
      <c r="E100" s="2">
        <v>356</v>
      </c>
      <c r="F100" s="2">
        <f t="shared" si="3"/>
        <v>30202</v>
      </c>
      <c r="G100" s="2">
        <f t="shared" si="4"/>
        <v>31139</v>
      </c>
      <c r="H100" s="3">
        <f t="shared" si="5"/>
        <v>0.92935593625022384</v>
      </c>
      <c r="I100" s="2"/>
      <c r="J100" s="2"/>
      <c r="K100" s="2"/>
      <c r="L100" s="3"/>
    </row>
    <row r="101" spans="1:13" x14ac:dyDescent="0.25">
      <c r="A101" s="1">
        <v>43922</v>
      </c>
      <c r="B101" s="4"/>
      <c r="C101" s="2">
        <v>8320</v>
      </c>
      <c r="D101" s="2">
        <v>450</v>
      </c>
      <c r="E101" s="2">
        <v>167</v>
      </c>
      <c r="F101" s="2">
        <f t="shared" si="3"/>
        <v>8487</v>
      </c>
      <c r="G101" s="2">
        <f t="shared" si="4"/>
        <v>8937</v>
      </c>
      <c r="H101" s="2" t="e">
        <f t="shared" si="5"/>
        <v>#DIV/0!</v>
      </c>
      <c r="I101" s="4" t="s">
        <v>35</v>
      </c>
      <c r="J101" s="2"/>
      <c r="K101" s="2"/>
      <c r="L101" s="3"/>
    </row>
    <row r="102" spans="1:13" x14ac:dyDescent="0.25">
      <c r="A102" s="1">
        <v>43952</v>
      </c>
      <c r="B102" s="4">
        <f>14565+571+0+55</f>
        <v>15191</v>
      </c>
      <c r="C102" s="2">
        <v>13263</v>
      </c>
      <c r="D102" s="2">
        <v>571</v>
      </c>
      <c r="E102" s="2">
        <v>55</v>
      </c>
      <c r="F102" s="2">
        <f t="shared" ref="F102:F109" si="6">C102+E102</f>
        <v>13318</v>
      </c>
      <c r="G102" s="2">
        <f t="shared" ref="G102:G109" si="7">F102+D102</f>
        <v>13889</v>
      </c>
      <c r="H102" s="3">
        <f t="shared" ref="H102:H109" si="8">G102/B102</f>
        <v>0.91429135672437623</v>
      </c>
      <c r="I102" s="2"/>
      <c r="J102" s="2"/>
      <c r="K102" s="2"/>
      <c r="L102" s="3"/>
    </row>
    <row r="103" spans="1:13" x14ac:dyDescent="0.25">
      <c r="A103" s="1">
        <v>43983</v>
      </c>
      <c r="B103" s="4">
        <f>20380+755+0+1056</f>
        <v>22191</v>
      </c>
      <c r="C103" s="2">
        <v>18852</v>
      </c>
      <c r="D103" s="6">
        <v>755</v>
      </c>
      <c r="E103" s="2">
        <v>1056</v>
      </c>
      <c r="F103" s="2">
        <f t="shared" si="6"/>
        <v>19908</v>
      </c>
      <c r="G103" s="2">
        <f t="shared" si="7"/>
        <v>20663</v>
      </c>
      <c r="H103" s="3">
        <f t="shared" si="8"/>
        <v>0.93114325627506644</v>
      </c>
      <c r="I103" s="2"/>
      <c r="J103" s="2"/>
      <c r="K103" s="2"/>
      <c r="L103" s="3"/>
    </row>
    <row r="104" spans="1:13" x14ac:dyDescent="0.25">
      <c r="A104" s="1">
        <v>44013</v>
      </c>
      <c r="B104" s="4">
        <f>22024+718+0+236</f>
        <v>22978</v>
      </c>
      <c r="C104" s="2">
        <v>20163</v>
      </c>
      <c r="D104" s="6">
        <v>718</v>
      </c>
      <c r="E104" s="2">
        <v>236</v>
      </c>
      <c r="F104" s="2">
        <f t="shared" si="6"/>
        <v>20399</v>
      </c>
      <c r="G104" s="2">
        <f t="shared" si="7"/>
        <v>21117</v>
      </c>
      <c r="H104" s="3">
        <f t="shared" si="8"/>
        <v>0.91900948733571242</v>
      </c>
      <c r="I104" s="2"/>
      <c r="J104" s="2"/>
      <c r="K104" s="2"/>
      <c r="L104" s="3"/>
      <c r="M104" s="2"/>
    </row>
    <row r="105" spans="1:13" x14ac:dyDescent="0.25">
      <c r="A105" s="1">
        <v>44044</v>
      </c>
      <c r="B105" s="4">
        <f>28424+856+0+135</f>
        <v>29415</v>
      </c>
      <c r="C105" s="2">
        <v>26116</v>
      </c>
      <c r="D105" s="6">
        <v>856</v>
      </c>
      <c r="E105" s="2">
        <v>135</v>
      </c>
      <c r="F105" s="2">
        <f t="shared" si="6"/>
        <v>26251</v>
      </c>
      <c r="G105" s="2">
        <f t="shared" si="7"/>
        <v>27107</v>
      </c>
      <c r="H105" s="3">
        <f t="shared" si="8"/>
        <v>0.92153663097059324</v>
      </c>
      <c r="I105" s="6"/>
      <c r="J105" s="2"/>
      <c r="K105" s="2"/>
      <c r="L105" s="3"/>
    </row>
    <row r="106" spans="1:13" x14ac:dyDescent="0.25">
      <c r="A106" s="1">
        <v>44075</v>
      </c>
      <c r="B106" s="4">
        <f>33004+957+0+262</f>
        <v>34223</v>
      </c>
      <c r="C106" s="2">
        <v>30530</v>
      </c>
      <c r="D106" s="6">
        <v>957</v>
      </c>
      <c r="E106" s="2">
        <v>262</v>
      </c>
      <c r="F106" s="2">
        <f t="shared" si="6"/>
        <v>30792</v>
      </c>
      <c r="G106" s="2">
        <f t="shared" si="7"/>
        <v>31749</v>
      </c>
      <c r="H106" s="3">
        <f t="shared" si="8"/>
        <v>0.92770943517517457</v>
      </c>
      <c r="I106" s="6"/>
      <c r="J106" s="2"/>
      <c r="K106" s="2"/>
      <c r="L106" s="3"/>
    </row>
    <row r="107" spans="1:13" x14ac:dyDescent="0.25">
      <c r="A107" s="1">
        <v>44105</v>
      </c>
      <c r="B107" s="4">
        <f>38895+935+0+193</f>
        <v>40023</v>
      </c>
      <c r="C107" s="2">
        <v>36550</v>
      </c>
      <c r="D107" s="6">
        <v>935</v>
      </c>
      <c r="E107" s="2">
        <v>193</v>
      </c>
      <c r="F107" s="2">
        <f t="shared" si="6"/>
        <v>36743</v>
      </c>
      <c r="G107" s="2">
        <f t="shared" si="7"/>
        <v>37678</v>
      </c>
      <c r="H107" s="3">
        <f t="shared" si="8"/>
        <v>0.94140869000324812</v>
      </c>
      <c r="I107" s="6"/>
      <c r="J107" s="2"/>
      <c r="K107" s="2"/>
      <c r="L107" s="3"/>
    </row>
    <row r="108" spans="1:13" x14ac:dyDescent="0.25">
      <c r="A108" s="1">
        <v>44136</v>
      </c>
      <c r="B108" s="4">
        <f>33960+1017+0+2668</f>
        <v>37645</v>
      </c>
      <c r="C108" s="2">
        <v>31931</v>
      </c>
      <c r="D108" s="6">
        <v>1017</v>
      </c>
      <c r="E108" s="2">
        <v>2668</v>
      </c>
      <c r="F108" s="2">
        <f t="shared" si="6"/>
        <v>34599</v>
      </c>
      <c r="G108" s="2">
        <f t="shared" si="7"/>
        <v>35616</v>
      </c>
      <c r="H108" s="3">
        <f t="shared" si="8"/>
        <v>0.9461017399389029</v>
      </c>
      <c r="I108" s="6"/>
      <c r="J108" s="2"/>
      <c r="K108" s="2"/>
      <c r="L108" s="3"/>
    </row>
    <row r="109" spans="1:13" x14ac:dyDescent="0.25">
      <c r="A109" s="1">
        <v>44166</v>
      </c>
      <c r="B109" s="4">
        <f>43263+1106+0+2275</f>
        <v>46644</v>
      </c>
      <c r="C109" s="2">
        <v>40730</v>
      </c>
      <c r="D109" s="6">
        <v>1106</v>
      </c>
      <c r="E109" s="2">
        <v>2275</v>
      </c>
      <c r="F109" s="2">
        <f t="shared" si="6"/>
        <v>43005</v>
      </c>
      <c r="G109" s="2">
        <f t="shared" si="7"/>
        <v>44111</v>
      </c>
      <c r="H109" s="3">
        <f t="shared" si="8"/>
        <v>0.94569505188234282</v>
      </c>
      <c r="I109" s="3" t="e">
        <f>AVERAGE(H98:H109)</f>
        <v>#DIV/0!</v>
      </c>
      <c r="J109" s="2">
        <f>AVERAGE(B98:B109)</f>
        <v>36207.909090909088</v>
      </c>
      <c r="K109" s="2">
        <f>AVERAGE(G98:G109)</f>
        <v>31828.916666666668</v>
      </c>
      <c r="L109" s="3"/>
    </row>
    <row r="110" spans="1:13" x14ac:dyDescent="0.25">
      <c r="B110" s="77">
        <f>SUM(B98:B109)</f>
        <v>398287</v>
      </c>
      <c r="C110" s="77">
        <f>SUM(C98:C109)</f>
        <v>361123</v>
      </c>
      <c r="D110" s="77">
        <f>SUM(D98:D109)</f>
        <v>10298</v>
      </c>
      <c r="E110" s="77">
        <f>SUM(E98:E109)</f>
        <v>10526</v>
      </c>
      <c r="F110" s="78"/>
      <c r="G110" s="77">
        <f>C110+D110+E110</f>
        <v>381947</v>
      </c>
      <c r="H110" s="31"/>
      <c r="I110" s="32" t="e">
        <f>AVERAGE(H86:H109)</f>
        <v>#DIV/0!</v>
      </c>
      <c r="J110" s="32">
        <f>J109/J97</f>
        <v>0.59862535621099711</v>
      </c>
    </row>
    <row r="111" spans="1:13" x14ac:dyDescent="0.25">
      <c r="B111" t="s">
        <v>30</v>
      </c>
      <c r="J111" s="32">
        <f>B109/B97</f>
        <v>0.61715555908387254</v>
      </c>
    </row>
    <row r="112" spans="1:13" x14ac:dyDescent="0.25">
      <c r="B112" s="2">
        <f>SUM(B86:B97)</f>
        <v>665336</v>
      </c>
      <c r="C112" s="2">
        <f>SUM(C86:C97)</f>
        <v>587066</v>
      </c>
      <c r="D112" s="2">
        <f>SUM(D86:D97)</f>
        <v>10797</v>
      </c>
      <c r="E112" s="2">
        <f>SUM(E86:E97)</f>
        <v>6567</v>
      </c>
      <c r="F112" s="2">
        <f>C112+E112</f>
        <v>593633</v>
      </c>
      <c r="G112" s="2">
        <f>C112+D112+E112</f>
        <v>604430</v>
      </c>
    </row>
    <row r="113" spans="2:9" x14ac:dyDescent="0.25">
      <c r="B113" s="2">
        <f>SUM(B98:B109)</f>
        <v>398287</v>
      </c>
      <c r="C113" s="2">
        <f>SUM(C98:C109)</f>
        <v>361123</v>
      </c>
      <c r="D113" s="2">
        <f>SUM(D98:D109)</f>
        <v>10298</v>
      </c>
      <c r="E113" s="2">
        <f>SUM(E98:E109)</f>
        <v>10526</v>
      </c>
      <c r="F113" s="2">
        <f>C113+E113</f>
        <v>371649</v>
      </c>
      <c r="G113" s="2">
        <f>C113+D113+E113</f>
        <v>381947</v>
      </c>
    </row>
    <row r="114" spans="2:9" x14ac:dyDescent="0.25">
      <c r="B114" s="3">
        <f t="shared" ref="B114:G114" si="9">-100%+B113/B112</f>
        <v>-0.40137464378900289</v>
      </c>
      <c r="C114" s="3">
        <f t="shared" si="9"/>
        <v>-0.38486814089046206</v>
      </c>
      <c r="D114" s="3">
        <f t="shared" si="9"/>
        <v>-4.6216541631934782E-2</v>
      </c>
      <c r="E114" s="3">
        <f t="shared" si="9"/>
        <v>0.60286279884269844</v>
      </c>
      <c r="F114" s="3">
        <f t="shared" si="9"/>
        <v>-0.37394147562551272</v>
      </c>
      <c r="G114" s="3">
        <f t="shared" si="9"/>
        <v>-0.36808728885065267</v>
      </c>
    </row>
    <row r="115" spans="2:9" x14ac:dyDescent="0.25">
      <c r="B115" t="s">
        <v>31</v>
      </c>
    </row>
    <row r="116" spans="2:9" x14ac:dyDescent="0.25">
      <c r="B116" s="2">
        <f t="shared" ref="B116:E117" si="10">B112/12</f>
        <v>55444.666666666664</v>
      </c>
      <c r="C116" s="2">
        <f t="shared" si="10"/>
        <v>48922.166666666664</v>
      </c>
      <c r="D116" s="2">
        <f t="shared" si="10"/>
        <v>899.75</v>
      </c>
      <c r="E116" s="2">
        <f t="shared" si="10"/>
        <v>547.25</v>
      </c>
      <c r="F116" s="2">
        <f>C116+E116</f>
        <v>49469.416666666664</v>
      </c>
      <c r="G116" s="2">
        <f>C116+D116+E116</f>
        <v>50369.166666666664</v>
      </c>
    </row>
    <row r="117" spans="2:9" x14ac:dyDescent="0.25">
      <c r="B117" s="2">
        <f t="shared" si="10"/>
        <v>33190.583333333336</v>
      </c>
      <c r="C117" s="2">
        <f t="shared" si="10"/>
        <v>30093.583333333332</v>
      </c>
      <c r="D117" s="2">
        <f t="shared" si="10"/>
        <v>858.16666666666663</v>
      </c>
      <c r="E117" s="2">
        <f t="shared" si="10"/>
        <v>877.16666666666663</v>
      </c>
      <c r="F117" s="2">
        <f>C117+E117</f>
        <v>30970.75</v>
      </c>
      <c r="G117" s="2">
        <f>C117+D117+E117</f>
        <v>31828.916666666668</v>
      </c>
    </row>
    <row r="118" spans="2:9" x14ac:dyDescent="0.25">
      <c r="B118" t="s">
        <v>32</v>
      </c>
      <c r="H118">
        <v>307</v>
      </c>
      <c r="I118" t="s">
        <v>325</v>
      </c>
    </row>
    <row r="119" spans="2:9" x14ac:dyDescent="0.25">
      <c r="B119" s="2">
        <f t="shared" ref="B119:E120" si="11">B112/365</f>
        <v>1822.8383561643836</v>
      </c>
      <c r="C119" s="2">
        <f t="shared" si="11"/>
        <v>1608.4</v>
      </c>
      <c r="D119" s="2">
        <f t="shared" si="11"/>
        <v>29.580821917808219</v>
      </c>
      <c r="E119" s="2">
        <f t="shared" si="11"/>
        <v>17.991780821917807</v>
      </c>
      <c r="F119" s="2">
        <f>C119+E119</f>
        <v>1626.3917808219178</v>
      </c>
      <c r="G119" s="2">
        <f>C119+D119+E119</f>
        <v>1655.972602739726</v>
      </c>
      <c r="H119" s="116">
        <f>G119/$H$118</f>
        <v>5.3940475659274458</v>
      </c>
      <c r="I119">
        <v>2019</v>
      </c>
    </row>
    <row r="120" spans="2:9" x14ac:dyDescent="0.25">
      <c r="B120" s="2">
        <f t="shared" si="11"/>
        <v>1091.1972602739727</v>
      </c>
      <c r="C120" s="2">
        <f t="shared" si="11"/>
        <v>989.37808219178078</v>
      </c>
      <c r="D120" s="2">
        <f t="shared" si="11"/>
        <v>28.213698630136985</v>
      </c>
      <c r="E120" s="2">
        <f t="shared" si="11"/>
        <v>28.838356164383562</v>
      </c>
      <c r="F120" s="2">
        <f>C120+E120</f>
        <v>1018.2164383561643</v>
      </c>
      <c r="G120" s="2">
        <f>C120+D120+E120</f>
        <v>1046.4301369863012</v>
      </c>
      <c r="H120" s="34">
        <f>G120/$H$118</f>
        <v>3.4085672214537501</v>
      </c>
      <c r="I120">
        <v>2020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873C7-B08B-4EA0-B097-25B8E2344488}">
  <sheetPr>
    <tabColor rgb="FF92D050"/>
  </sheetPr>
  <dimension ref="A1:V28"/>
  <sheetViews>
    <sheetView zoomScale="80" zoomScaleNormal="80" workbookViewId="0">
      <selection sqref="A1:B1"/>
    </sheetView>
  </sheetViews>
  <sheetFormatPr defaultRowHeight="15" x14ac:dyDescent="0.25"/>
  <sheetData>
    <row r="1" spans="1:22" ht="31.5" x14ac:dyDescent="0.25">
      <c r="A1" s="241" t="s">
        <v>326</v>
      </c>
      <c r="B1" s="241"/>
      <c r="C1" s="118" t="s">
        <v>327</v>
      </c>
      <c r="D1" s="119" t="s">
        <v>328</v>
      </c>
      <c r="E1" s="120" t="s">
        <v>329</v>
      </c>
      <c r="F1" s="121" t="s">
        <v>327</v>
      </c>
      <c r="G1" s="122" t="s">
        <v>330</v>
      </c>
      <c r="H1" s="123" t="s">
        <v>329</v>
      </c>
      <c r="I1" s="121" t="s">
        <v>327</v>
      </c>
      <c r="J1" s="124" t="s">
        <v>331</v>
      </c>
      <c r="K1" s="120" t="s">
        <v>329</v>
      </c>
      <c r="L1" s="121" t="s">
        <v>327</v>
      </c>
      <c r="M1" s="124" t="s">
        <v>332</v>
      </c>
      <c r="N1" s="123" t="s">
        <v>329</v>
      </c>
      <c r="O1" s="242" t="s">
        <v>333</v>
      </c>
      <c r="P1" s="243"/>
      <c r="Q1" s="121" t="s">
        <v>334</v>
      </c>
      <c r="R1" s="125" t="s">
        <v>335</v>
      </c>
      <c r="S1" s="120" t="s">
        <v>329</v>
      </c>
      <c r="T1" s="126" t="s">
        <v>336</v>
      </c>
    </row>
    <row r="2" spans="1:22" x14ac:dyDescent="0.25">
      <c r="A2" s="244" t="s">
        <v>337</v>
      </c>
      <c r="B2" s="245"/>
      <c r="C2" s="128">
        <v>0</v>
      </c>
      <c r="D2" s="128">
        <v>0</v>
      </c>
      <c r="E2" s="134">
        <v>0</v>
      </c>
      <c r="F2" s="129">
        <v>128</v>
      </c>
      <c r="G2" s="128">
        <v>171</v>
      </c>
      <c r="H2" s="134">
        <v>196</v>
      </c>
      <c r="I2" s="129">
        <v>0</v>
      </c>
      <c r="J2" s="128">
        <v>0</v>
      </c>
      <c r="K2" s="134">
        <v>2</v>
      </c>
      <c r="L2" s="129">
        <v>0</v>
      </c>
      <c r="M2" s="128">
        <v>0</v>
      </c>
      <c r="N2" s="134">
        <v>0</v>
      </c>
      <c r="O2" s="129">
        <v>1</v>
      </c>
      <c r="P2" s="134">
        <v>1</v>
      </c>
      <c r="Q2" s="129">
        <v>0</v>
      </c>
      <c r="R2" s="135"/>
      <c r="S2" s="134">
        <v>0</v>
      </c>
      <c r="T2" s="141">
        <v>-71</v>
      </c>
      <c r="V2" s="140">
        <f>F2+I2+L2+O2-H2-K2-N2-P2</f>
        <v>-70</v>
      </c>
    </row>
    <row r="3" spans="1:22" x14ac:dyDescent="0.25">
      <c r="A3" s="240" t="s">
        <v>338</v>
      </c>
      <c r="B3" s="240"/>
      <c r="C3" s="130">
        <v>0</v>
      </c>
      <c r="D3" s="130">
        <v>0</v>
      </c>
      <c r="E3" s="136">
        <v>0</v>
      </c>
      <c r="F3" s="131">
        <v>51</v>
      </c>
      <c r="G3" s="130">
        <v>89</v>
      </c>
      <c r="H3" s="136">
        <v>98</v>
      </c>
      <c r="I3" s="131">
        <v>0</v>
      </c>
      <c r="J3" s="130">
        <v>0</v>
      </c>
      <c r="K3" s="136">
        <v>0</v>
      </c>
      <c r="L3" s="131">
        <v>0</v>
      </c>
      <c r="M3" s="130">
        <v>0</v>
      </c>
      <c r="N3" s="136">
        <v>0</v>
      </c>
      <c r="O3" s="131">
        <v>0</v>
      </c>
      <c r="P3" s="136">
        <v>0</v>
      </c>
      <c r="Q3" s="131">
        <v>0</v>
      </c>
      <c r="R3" s="137"/>
      <c r="S3" s="136">
        <v>0</v>
      </c>
      <c r="T3" s="142">
        <v>-118</v>
      </c>
      <c r="V3" s="140">
        <f>F3+I3+L3+O3-H3-K3-N3-P3+V2</f>
        <v>-117</v>
      </c>
    </row>
    <row r="4" spans="1:22" x14ac:dyDescent="0.25">
      <c r="A4" s="238" t="s">
        <v>339</v>
      </c>
      <c r="B4" s="239"/>
      <c r="C4" s="132">
        <v>0</v>
      </c>
      <c r="D4" s="132">
        <v>0</v>
      </c>
      <c r="E4" s="138">
        <v>0</v>
      </c>
      <c r="F4" s="133">
        <v>17</v>
      </c>
      <c r="G4" s="132">
        <v>30</v>
      </c>
      <c r="H4" s="138">
        <v>36</v>
      </c>
      <c r="I4" s="133">
        <v>0</v>
      </c>
      <c r="J4" s="132">
        <v>0</v>
      </c>
      <c r="K4" s="138">
        <v>0</v>
      </c>
      <c r="L4" s="133">
        <v>0</v>
      </c>
      <c r="M4" s="132">
        <v>0</v>
      </c>
      <c r="N4" s="138">
        <v>0</v>
      </c>
      <c r="O4" s="133">
        <v>0</v>
      </c>
      <c r="P4" s="138">
        <v>0</v>
      </c>
      <c r="Q4" s="133">
        <v>0</v>
      </c>
      <c r="R4" s="139"/>
      <c r="S4" s="138">
        <v>0</v>
      </c>
      <c r="T4" s="143">
        <v>-137</v>
      </c>
      <c r="V4" s="140">
        <f t="shared" ref="V4:V22" si="0">F4+I4+L4+O4-H4-K4-N4-P4+V3</f>
        <v>-136</v>
      </c>
    </row>
    <row r="5" spans="1:22" x14ac:dyDescent="0.25">
      <c r="A5" s="240" t="s">
        <v>340</v>
      </c>
      <c r="B5" s="240"/>
      <c r="C5" s="130">
        <v>0</v>
      </c>
      <c r="D5" s="130">
        <v>0</v>
      </c>
      <c r="E5" s="136">
        <v>0</v>
      </c>
      <c r="F5" s="131">
        <v>30</v>
      </c>
      <c r="G5" s="130">
        <v>10</v>
      </c>
      <c r="H5" s="136">
        <v>10</v>
      </c>
      <c r="I5" s="131">
        <v>0</v>
      </c>
      <c r="J5" s="130">
        <v>0</v>
      </c>
      <c r="K5" s="136">
        <v>0</v>
      </c>
      <c r="L5" s="131">
        <v>0</v>
      </c>
      <c r="M5" s="130">
        <v>0</v>
      </c>
      <c r="N5" s="136">
        <v>0</v>
      </c>
      <c r="O5" s="131">
        <v>0</v>
      </c>
      <c r="P5" s="136">
        <v>0</v>
      </c>
      <c r="Q5" s="131">
        <v>0</v>
      </c>
      <c r="R5" s="137"/>
      <c r="S5" s="136">
        <v>0</v>
      </c>
      <c r="T5" s="142">
        <v>-117</v>
      </c>
      <c r="V5" s="140">
        <f t="shared" si="0"/>
        <v>-116</v>
      </c>
    </row>
    <row r="6" spans="1:22" x14ac:dyDescent="0.25">
      <c r="A6" s="238" t="s">
        <v>341</v>
      </c>
      <c r="B6" s="239"/>
      <c r="C6" s="132">
        <v>0</v>
      </c>
      <c r="D6" s="132">
        <v>0</v>
      </c>
      <c r="E6" s="138">
        <v>0</v>
      </c>
      <c r="F6" s="133">
        <v>91</v>
      </c>
      <c r="G6" s="132">
        <v>28</v>
      </c>
      <c r="H6" s="138">
        <v>30</v>
      </c>
      <c r="I6" s="133">
        <v>7</v>
      </c>
      <c r="J6" s="132">
        <v>0</v>
      </c>
      <c r="K6" s="138">
        <v>0</v>
      </c>
      <c r="L6" s="133">
        <v>0</v>
      </c>
      <c r="M6" s="132">
        <v>0</v>
      </c>
      <c r="N6" s="138">
        <v>0</v>
      </c>
      <c r="O6" s="133">
        <v>0</v>
      </c>
      <c r="P6" s="138">
        <v>0</v>
      </c>
      <c r="Q6" s="133">
        <v>0</v>
      </c>
      <c r="R6" s="139"/>
      <c r="S6" s="138">
        <v>0</v>
      </c>
      <c r="T6" s="143">
        <v>-49</v>
      </c>
      <c r="V6" s="140">
        <f t="shared" si="0"/>
        <v>-48</v>
      </c>
    </row>
    <row r="7" spans="1:22" x14ac:dyDescent="0.25">
      <c r="A7" s="240" t="s">
        <v>342</v>
      </c>
      <c r="B7" s="240"/>
      <c r="C7" s="130">
        <v>0</v>
      </c>
      <c r="D7" s="130">
        <v>0</v>
      </c>
      <c r="E7" s="136">
        <v>0</v>
      </c>
      <c r="F7" s="131">
        <v>457</v>
      </c>
      <c r="G7" s="130">
        <v>179</v>
      </c>
      <c r="H7" s="136">
        <v>199</v>
      </c>
      <c r="I7" s="131">
        <v>4</v>
      </c>
      <c r="J7" s="130">
        <v>0</v>
      </c>
      <c r="K7" s="136">
        <v>1</v>
      </c>
      <c r="L7" s="131">
        <v>0</v>
      </c>
      <c r="M7" s="130">
        <v>0</v>
      </c>
      <c r="N7" s="136">
        <v>0</v>
      </c>
      <c r="O7" s="131">
        <v>1</v>
      </c>
      <c r="P7" s="136">
        <v>1</v>
      </c>
      <c r="Q7" s="131">
        <v>0</v>
      </c>
      <c r="R7" s="137"/>
      <c r="S7" s="136">
        <v>0</v>
      </c>
      <c r="T7" s="142">
        <v>211</v>
      </c>
      <c r="V7" s="140">
        <f t="shared" si="0"/>
        <v>213</v>
      </c>
    </row>
    <row r="8" spans="1:22" x14ac:dyDescent="0.25">
      <c r="A8" s="238" t="s">
        <v>343</v>
      </c>
      <c r="B8" s="239"/>
      <c r="C8" s="132">
        <v>0</v>
      </c>
      <c r="D8" s="132">
        <v>0</v>
      </c>
      <c r="E8" s="138">
        <v>0</v>
      </c>
      <c r="F8" s="133">
        <v>806</v>
      </c>
      <c r="G8" s="132">
        <v>484</v>
      </c>
      <c r="H8" s="138">
        <v>510</v>
      </c>
      <c r="I8" s="133">
        <v>11</v>
      </c>
      <c r="J8" s="132">
        <v>0</v>
      </c>
      <c r="K8" s="138">
        <v>0</v>
      </c>
      <c r="L8" s="133">
        <v>0</v>
      </c>
      <c r="M8" s="132">
        <v>0</v>
      </c>
      <c r="N8" s="138">
        <v>0</v>
      </c>
      <c r="O8" s="133">
        <v>0</v>
      </c>
      <c r="P8" s="138">
        <v>0</v>
      </c>
      <c r="Q8" s="133">
        <v>0</v>
      </c>
      <c r="R8" s="139"/>
      <c r="S8" s="138">
        <v>0</v>
      </c>
      <c r="T8" s="143">
        <v>518</v>
      </c>
      <c r="V8" s="140">
        <f t="shared" si="0"/>
        <v>520</v>
      </c>
    </row>
    <row r="9" spans="1:22" x14ac:dyDescent="0.25">
      <c r="A9" s="240" t="s">
        <v>344</v>
      </c>
      <c r="B9" s="240"/>
      <c r="C9" s="130">
        <v>0</v>
      </c>
      <c r="D9" s="130">
        <v>0</v>
      </c>
      <c r="E9" s="136">
        <v>0</v>
      </c>
      <c r="F9" s="131">
        <v>780</v>
      </c>
      <c r="G9" s="130">
        <v>626</v>
      </c>
      <c r="H9" s="136">
        <v>658</v>
      </c>
      <c r="I9" s="131">
        <v>7</v>
      </c>
      <c r="J9" s="130">
        <v>0</v>
      </c>
      <c r="K9" s="136">
        <v>5</v>
      </c>
      <c r="L9" s="131">
        <v>0</v>
      </c>
      <c r="M9" s="130">
        <v>0</v>
      </c>
      <c r="N9" s="136">
        <v>0</v>
      </c>
      <c r="O9" s="131">
        <v>2</v>
      </c>
      <c r="P9" s="136">
        <v>2</v>
      </c>
      <c r="Q9" s="131">
        <v>0</v>
      </c>
      <c r="R9" s="137"/>
      <c r="S9" s="136">
        <v>0</v>
      </c>
      <c r="T9" s="142">
        <v>640</v>
      </c>
      <c r="V9" s="140">
        <f t="shared" si="0"/>
        <v>644</v>
      </c>
    </row>
    <row r="10" spans="1:22" x14ac:dyDescent="0.25">
      <c r="A10" s="238" t="s">
        <v>345</v>
      </c>
      <c r="B10" s="239"/>
      <c r="C10" s="132">
        <v>0</v>
      </c>
      <c r="D10" s="132">
        <v>0</v>
      </c>
      <c r="E10" s="138">
        <v>0</v>
      </c>
      <c r="F10" s="133">
        <v>868</v>
      </c>
      <c r="G10" s="132">
        <v>682</v>
      </c>
      <c r="H10" s="138">
        <v>711</v>
      </c>
      <c r="I10" s="133">
        <v>12</v>
      </c>
      <c r="J10" s="132">
        <v>1</v>
      </c>
      <c r="K10" s="138">
        <v>5</v>
      </c>
      <c r="L10" s="133">
        <v>0</v>
      </c>
      <c r="M10" s="132">
        <v>0</v>
      </c>
      <c r="N10" s="138">
        <v>0</v>
      </c>
      <c r="O10" s="133">
        <v>3</v>
      </c>
      <c r="P10" s="138">
        <v>3</v>
      </c>
      <c r="Q10" s="133">
        <v>0</v>
      </c>
      <c r="R10" s="139"/>
      <c r="S10" s="138">
        <v>0</v>
      </c>
      <c r="T10" s="143">
        <v>801</v>
      </c>
      <c r="V10" s="140">
        <f t="shared" si="0"/>
        <v>808</v>
      </c>
    </row>
    <row r="11" spans="1:22" x14ac:dyDescent="0.25">
      <c r="A11" s="240" t="s">
        <v>346</v>
      </c>
      <c r="B11" s="240"/>
      <c r="C11" s="130">
        <v>0</v>
      </c>
      <c r="D11" s="130">
        <v>0</v>
      </c>
      <c r="E11" s="136">
        <v>0</v>
      </c>
      <c r="F11" s="131">
        <v>849</v>
      </c>
      <c r="G11" s="130">
        <v>719</v>
      </c>
      <c r="H11" s="136">
        <v>758</v>
      </c>
      <c r="I11" s="131">
        <v>22</v>
      </c>
      <c r="J11" s="130">
        <v>0</v>
      </c>
      <c r="K11" s="136">
        <v>9</v>
      </c>
      <c r="L11" s="131">
        <v>0</v>
      </c>
      <c r="M11" s="130">
        <v>0</v>
      </c>
      <c r="N11" s="136">
        <v>0</v>
      </c>
      <c r="O11" s="131">
        <v>3</v>
      </c>
      <c r="P11" s="136">
        <v>2</v>
      </c>
      <c r="Q11" s="131">
        <v>0</v>
      </c>
      <c r="R11" s="137"/>
      <c r="S11" s="136">
        <v>0</v>
      </c>
      <c r="T11" s="142">
        <v>903</v>
      </c>
      <c r="V11" s="140">
        <f t="shared" si="0"/>
        <v>913</v>
      </c>
    </row>
    <row r="12" spans="1:22" x14ac:dyDescent="0.25">
      <c r="A12" s="238" t="s">
        <v>347</v>
      </c>
      <c r="B12" s="239"/>
      <c r="C12" s="132">
        <v>0</v>
      </c>
      <c r="D12" s="132">
        <v>0</v>
      </c>
      <c r="E12" s="138">
        <v>0</v>
      </c>
      <c r="F12" s="133">
        <v>1000</v>
      </c>
      <c r="G12" s="132">
        <v>781</v>
      </c>
      <c r="H12" s="138">
        <v>801</v>
      </c>
      <c r="I12" s="133">
        <v>9</v>
      </c>
      <c r="J12" s="132">
        <v>0</v>
      </c>
      <c r="K12" s="138">
        <v>5</v>
      </c>
      <c r="L12" s="133">
        <v>0</v>
      </c>
      <c r="M12" s="132">
        <v>0</v>
      </c>
      <c r="N12" s="138">
        <v>0</v>
      </c>
      <c r="O12" s="133">
        <v>0</v>
      </c>
      <c r="P12" s="138">
        <v>0</v>
      </c>
      <c r="Q12" s="133">
        <v>0</v>
      </c>
      <c r="R12" s="139"/>
      <c r="S12" s="138">
        <v>0</v>
      </c>
      <c r="T12" s="144">
        <v>1106</v>
      </c>
      <c r="V12" s="140">
        <f t="shared" si="0"/>
        <v>1116</v>
      </c>
    </row>
    <row r="13" spans="1:22" x14ac:dyDescent="0.25">
      <c r="A13" s="240" t="s">
        <v>348</v>
      </c>
      <c r="B13" s="240"/>
      <c r="C13" s="130">
        <v>0</v>
      </c>
      <c r="D13" s="130">
        <v>0</v>
      </c>
      <c r="E13" s="136">
        <v>0</v>
      </c>
      <c r="F13" s="131">
        <v>895</v>
      </c>
      <c r="G13" s="130">
        <v>838</v>
      </c>
      <c r="H13" s="136">
        <v>864</v>
      </c>
      <c r="I13" s="131">
        <v>8</v>
      </c>
      <c r="J13" s="130">
        <v>0</v>
      </c>
      <c r="K13" s="136">
        <v>8</v>
      </c>
      <c r="L13" s="131">
        <v>0</v>
      </c>
      <c r="M13" s="130">
        <v>0</v>
      </c>
      <c r="N13" s="136">
        <v>0</v>
      </c>
      <c r="O13" s="131">
        <v>2</v>
      </c>
      <c r="P13" s="136">
        <v>2</v>
      </c>
      <c r="Q13" s="131">
        <v>0</v>
      </c>
      <c r="R13" s="137"/>
      <c r="S13" s="136">
        <v>0</v>
      </c>
      <c r="T13" s="145">
        <v>1135</v>
      </c>
      <c r="V13" s="140">
        <f t="shared" si="0"/>
        <v>1147</v>
      </c>
    </row>
    <row r="14" spans="1:22" x14ac:dyDescent="0.25">
      <c r="A14" s="238" t="s">
        <v>349</v>
      </c>
      <c r="B14" s="239"/>
      <c r="C14" s="132">
        <v>0</v>
      </c>
      <c r="D14" s="132">
        <v>0</v>
      </c>
      <c r="E14" s="138">
        <v>0</v>
      </c>
      <c r="F14" s="133">
        <v>788</v>
      </c>
      <c r="G14" s="132">
        <v>839</v>
      </c>
      <c r="H14" s="138">
        <v>887</v>
      </c>
      <c r="I14" s="133">
        <v>5</v>
      </c>
      <c r="J14" s="132">
        <v>0</v>
      </c>
      <c r="K14" s="138">
        <v>5</v>
      </c>
      <c r="L14" s="133">
        <v>0</v>
      </c>
      <c r="M14" s="132">
        <v>0</v>
      </c>
      <c r="N14" s="138">
        <v>0</v>
      </c>
      <c r="O14" s="133">
        <v>3</v>
      </c>
      <c r="P14" s="138">
        <v>1</v>
      </c>
      <c r="Q14" s="133">
        <v>0</v>
      </c>
      <c r="R14" s="139"/>
      <c r="S14" s="138">
        <v>0</v>
      </c>
      <c r="T14" s="144">
        <v>1035</v>
      </c>
      <c r="V14" s="140">
        <f t="shared" si="0"/>
        <v>1050</v>
      </c>
    </row>
    <row r="15" spans="1:22" x14ac:dyDescent="0.25">
      <c r="A15" s="240" t="s">
        <v>350</v>
      </c>
      <c r="B15" s="240"/>
      <c r="C15" s="130">
        <v>0</v>
      </c>
      <c r="D15" s="130">
        <v>0</v>
      </c>
      <c r="E15" s="136">
        <v>0</v>
      </c>
      <c r="F15" s="131">
        <v>718</v>
      </c>
      <c r="G15" s="130">
        <v>700</v>
      </c>
      <c r="H15" s="136">
        <v>728</v>
      </c>
      <c r="I15" s="131">
        <v>11</v>
      </c>
      <c r="J15" s="130">
        <v>1</v>
      </c>
      <c r="K15" s="136">
        <v>11</v>
      </c>
      <c r="L15" s="131">
        <v>0</v>
      </c>
      <c r="M15" s="130">
        <v>0</v>
      </c>
      <c r="N15" s="136">
        <v>0</v>
      </c>
      <c r="O15" s="131">
        <v>1</v>
      </c>
      <c r="P15" s="136">
        <v>1</v>
      </c>
      <c r="Q15" s="131">
        <v>0</v>
      </c>
      <c r="R15" s="137"/>
      <c r="S15" s="136">
        <v>0</v>
      </c>
      <c r="T15" s="145">
        <v>1024</v>
      </c>
      <c r="V15" s="140">
        <f t="shared" si="0"/>
        <v>1040</v>
      </c>
    </row>
    <row r="16" spans="1:22" x14ac:dyDescent="0.25">
      <c r="A16" s="238" t="s">
        <v>351</v>
      </c>
      <c r="B16" s="239"/>
      <c r="C16" s="132">
        <v>0</v>
      </c>
      <c r="D16" s="132">
        <v>0</v>
      </c>
      <c r="E16" s="138">
        <v>0</v>
      </c>
      <c r="F16" s="133">
        <v>792</v>
      </c>
      <c r="G16" s="132">
        <v>706</v>
      </c>
      <c r="H16" s="138">
        <v>753</v>
      </c>
      <c r="I16" s="133">
        <v>5</v>
      </c>
      <c r="J16" s="132">
        <v>0</v>
      </c>
      <c r="K16" s="138">
        <v>10</v>
      </c>
      <c r="L16" s="133">
        <v>0</v>
      </c>
      <c r="M16" s="132">
        <v>0</v>
      </c>
      <c r="N16" s="138">
        <v>0</v>
      </c>
      <c r="O16" s="133">
        <v>2</v>
      </c>
      <c r="P16" s="138">
        <v>2</v>
      </c>
      <c r="Q16" s="133">
        <v>0</v>
      </c>
      <c r="R16" s="139"/>
      <c r="S16" s="138">
        <v>0</v>
      </c>
      <c r="T16" s="144">
        <v>1056</v>
      </c>
      <c r="V16" s="140">
        <f t="shared" si="0"/>
        <v>1074</v>
      </c>
    </row>
    <row r="17" spans="1:22" x14ac:dyDescent="0.25">
      <c r="A17" s="240" t="s">
        <v>352</v>
      </c>
      <c r="B17" s="240"/>
      <c r="C17" s="130">
        <v>0</v>
      </c>
      <c r="D17" s="130">
        <v>0</v>
      </c>
      <c r="E17" s="136">
        <v>0</v>
      </c>
      <c r="F17" s="131">
        <v>798</v>
      </c>
      <c r="G17" s="130">
        <v>753</v>
      </c>
      <c r="H17" s="136">
        <v>793</v>
      </c>
      <c r="I17" s="131">
        <v>7</v>
      </c>
      <c r="J17" s="130">
        <v>0</v>
      </c>
      <c r="K17" s="136">
        <v>14</v>
      </c>
      <c r="L17" s="131">
        <v>0</v>
      </c>
      <c r="M17" s="130">
        <v>0</v>
      </c>
      <c r="N17" s="136">
        <v>0</v>
      </c>
      <c r="O17" s="131">
        <v>1</v>
      </c>
      <c r="P17" s="136">
        <v>1</v>
      </c>
      <c r="Q17" s="131">
        <v>0</v>
      </c>
      <c r="R17" s="137"/>
      <c r="S17" s="136">
        <v>0</v>
      </c>
      <c r="T17" s="145">
        <v>1053</v>
      </c>
      <c r="V17" s="140">
        <f t="shared" si="0"/>
        <v>1072</v>
      </c>
    </row>
    <row r="18" spans="1:22" x14ac:dyDescent="0.25">
      <c r="A18" s="238" t="s">
        <v>353</v>
      </c>
      <c r="B18" s="239"/>
      <c r="C18" s="132">
        <v>0</v>
      </c>
      <c r="D18" s="132">
        <v>0</v>
      </c>
      <c r="E18" s="138">
        <v>0</v>
      </c>
      <c r="F18" s="133">
        <v>764</v>
      </c>
      <c r="G18" s="132">
        <v>750</v>
      </c>
      <c r="H18" s="138">
        <v>799</v>
      </c>
      <c r="I18" s="133">
        <v>8</v>
      </c>
      <c r="J18" s="132">
        <v>0</v>
      </c>
      <c r="K18" s="138">
        <v>14</v>
      </c>
      <c r="L18" s="133">
        <v>0</v>
      </c>
      <c r="M18" s="132">
        <v>0</v>
      </c>
      <c r="N18" s="138">
        <v>0</v>
      </c>
      <c r="O18" s="133">
        <v>2</v>
      </c>
      <c r="P18" s="138">
        <v>1</v>
      </c>
      <c r="Q18" s="133">
        <v>0</v>
      </c>
      <c r="R18" s="139"/>
      <c r="S18" s="138">
        <v>0</v>
      </c>
      <c r="T18" s="144">
        <v>1011</v>
      </c>
      <c r="V18" s="140">
        <f t="shared" si="0"/>
        <v>1032</v>
      </c>
    </row>
    <row r="19" spans="1:22" x14ac:dyDescent="0.25">
      <c r="A19" s="240" t="s">
        <v>354</v>
      </c>
      <c r="B19" s="240"/>
      <c r="C19" s="130">
        <v>0</v>
      </c>
      <c r="D19" s="130">
        <v>0</v>
      </c>
      <c r="E19" s="136">
        <v>0</v>
      </c>
      <c r="F19" s="131">
        <v>770</v>
      </c>
      <c r="G19" s="130">
        <v>648</v>
      </c>
      <c r="H19" s="136">
        <v>633</v>
      </c>
      <c r="I19" s="131">
        <v>6</v>
      </c>
      <c r="J19" s="130">
        <v>0</v>
      </c>
      <c r="K19" s="136">
        <v>14</v>
      </c>
      <c r="L19" s="131">
        <v>0</v>
      </c>
      <c r="M19" s="130">
        <v>0</v>
      </c>
      <c r="N19" s="136">
        <v>0</v>
      </c>
      <c r="O19" s="131">
        <v>2</v>
      </c>
      <c r="P19" s="136">
        <v>2</v>
      </c>
      <c r="Q19" s="131">
        <v>0</v>
      </c>
      <c r="R19" s="137"/>
      <c r="S19" s="136">
        <v>0</v>
      </c>
      <c r="T19" s="145">
        <v>1138</v>
      </c>
      <c r="V19" s="140">
        <f t="shared" si="0"/>
        <v>1161</v>
      </c>
    </row>
    <row r="20" spans="1:22" x14ac:dyDescent="0.25">
      <c r="A20" s="238" t="s">
        <v>355</v>
      </c>
      <c r="B20" s="239"/>
      <c r="C20" s="132">
        <v>0</v>
      </c>
      <c r="D20" s="132">
        <v>0</v>
      </c>
      <c r="E20" s="138">
        <v>0</v>
      </c>
      <c r="F20" s="133">
        <v>894</v>
      </c>
      <c r="G20" s="132">
        <v>773</v>
      </c>
      <c r="H20" s="138">
        <v>794</v>
      </c>
      <c r="I20" s="133">
        <v>6</v>
      </c>
      <c r="J20" s="132">
        <v>0</v>
      </c>
      <c r="K20" s="138">
        <v>10</v>
      </c>
      <c r="L20" s="133">
        <v>0</v>
      </c>
      <c r="M20" s="132">
        <v>0</v>
      </c>
      <c r="N20" s="138">
        <v>0</v>
      </c>
      <c r="O20" s="133">
        <v>4</v>
      </c>
      <c r="P20" s="138">
        <v>4</v>
      </c>
      <c r="Q20" s="133">
        <v>0</v>
      </c>
      <c r="R20" s="139"/>
      <c r="S20" s="138">
        <v>0</v>
      </c>
      <c r="T20" s="144">
        <v>1230</v>
      </c>
      <c r="V20" s="140">
        <f t="shared" si="0"/>
        <v>1257</v>
      </c>
    </row>
    <row r="21" spans="1:22" x14ac:dyDescent="0.25">
      <c r="A21" s="240" t="s">
        <v>356</v>
      </c>
      <c r="B21" s="240"/>
      <c r="C21" s="130">
        <v>0</v>
      </c>
      <c r="D21" s="130">
        <v>0</v>
      </c>
      <c r="E21" s="136">
        <v>0</v>
      </c>
      <c r="F21" s="131">
        <v>995</v>
      </c>
      <c r="G21" s="130">
        <v>933</v>
      </c>
      <c r="H21" s="136">
        <v>914</v>
      </c>
      <c r="I21" s="131">
        <v>5</v>
      </c>
      <c r="J21" s="130">
        <v>0</v>
      </c>
      <c r="K21" s="136">
        <v>8</v>
      </c>
      <c r="L21" s="131">
        <v>0</v>
      </c>
      <c r="M21" s="130">
        <v>0</v>
      </c>
      <c r="N21" s="136">
        <v>0</v>
      </c>
      <c r="O21" s="131">
        <v>3</v>
      </c>
      <c r="P21" s="136">
        <v>2</v>
      </c>
      <c r="Q21" s="131">
        <v>0</v>
      </c>
      <c r="R21" s="137"/>
      <c r="S21" s="136">
        <v>0</v>
      </c>
      <c r="T21" s="145">
        <v>1306</v>
      </c>
      <c r="V21" s="140">
        <f t="shared" si="0"/>
        <v>1336</v>
      </c>
    </row>
    <row r="22" spans="1:22" x14ac:dyDescent="0.25">
      <c r="A22" s="238" t="s">
        <v>357</v>
      </c>
      <c r="B22" s="239"/>
      <c r="C22" s="132">
        <v>0</v>
      </c>
      <c r="D22" s="132">
        <v>0</v>
      </c>
      <c r="E22" s="138">
        <v>0</v>
      </c>
      <c r="F22" s="133">
        <v>970</v>
      </c>
      <c r="G22" s="132">
        <v>1017</v>
      </c>
      <c r="H22" s="138">
        <v>1008</v>
      </c>
      <c r="I22" s="133">
        <v>2</v>
      </c>
      <c r="J22" s="132">
        <v>0</v>
      </c>
      <c r="K22" s="138">
        <v>7</v>
      </c>
      <c r="L22" s="133">
        <v>0</v>
      </c>
      <c r="M22" s="132">
        <v>0</v>
      </c>
      <c r="N22" s="138">
        <v>0</v>
      </c>
      <c r="O22" s="133">
        <v>1</v>
      </c>
      <c r="P22" s="138">
        <v>2</v>
      </c>
      <c r="Q22" s="133">
        <v>0</v>
      </c>
      <c r="R22" s="139"/>
      <c r="S22" s="138">
        <v>0</v>
      </c>
      <c r="T22" s="144">
        <v>1261</v>
      </c>
      <c r="V22" s="140">
        <f t="shared" si="0"/>
        <v>1292</v>
      </c>
    </row>
    <row r="23" spans="1:22" x14ac:dyDescent="0.25">
      <c r="A23" s="127"/>
      <c r="B23" s="117"/>
      <c r="C23" s="117"/>
      <c r="D23" s="117"/>
      <c r="E23" s="117"/>
      <c r="F23" s="117"/>
      <c r="G23" s="117"/>
      <c r="H23" s="117"/>
      <c r="I23" s="117"/>
      <c r="J23" s="117"/>
      <c r="K23" s="117"/>
      <c r="L23" s="117"/>
      <c r="M23" s="117"/>
      <c r="N23" s="117"/>
      <c r="O23" s="117"/>
      <c r="P23" s="117"/>
      <c r="Q23" s="117"/>
      <c r="R23" s="117"/>
      <c r="S23" s="117"/>
      <c r="T23" s="117"/>
    </row>
    <row r="24" spans="1:22" x14ac:dyDescent="0.25">
      <c r="A24" s="127"/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17"/>
      <c r="M24" s="117"/>
      <c r="N24" s="117"/>
      <c r="O24" s="117"/>
      <c r="P24" s="117"/>
      <c r="Q24" s="117"/>
      <c r="R24" s="117"/>
      <c r="S24" s="117"/>
      <c r="T24" s="117"/>
    </row>
    <row r="25" spans="1:22" x14ac:dyDescent="0.25">
      <c r="A25" s="127"/>
      <c r="B25" s="117"/>
      <c r="C25" s="117"/>
      <c r="D25" s="117"/>
      <c r="E25" s="117"/>
      <c r="F25" s="117"/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7"/>
      <c r="S25" s="117"/>
      <c r="T25" s="117"/>
    </row>
    <row r="26" spans="1:22" x14ac:dyDescent="0.25">
      <c r="A26" s="127"/>
      <c r="B26" s="117"/>
      <c r="C26" s="117"/>
      <c r="D26" s="117"/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</row>
    <row r="27" spans="1:22" x14ac:dyDescent="0.25">
      <c r="A27" s="127"/>
      <c r="B27" s="117"/>
      <c r="C27" s="117"/>
      <c r="D27" s="117"/>
      <c r="E27" s="117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7"/>
      <c r="R27" s="117"/>
      <c r="S27" s="117"/>
      <c r="T27" s="117"/>
    </row>
    <row r="28" spans="1:22" ht="27" customHeight="1" x14ac:dyDescent="0.25">
      <c r="A28" s="127"/>
      <c r="B28" s="117"/>
      <c r="C28" s="117"/>
      <c r="D28" s="117"/>
      <c r="E28" s="117"/>
      <c r="F28" s="117">
        <v>15078</v>
      </c>
      <c r="G28" s="117">
        <v>13795</v>
      </c>
      <c r="H28" s="117">
        <v>14277</v>
      </c>
      <c r="I28" s="117">
        <v>139</v>
      </c>
      <c r="J28" s="117">
        <v>2</v>
      </c>
      <c r="K28" s="117">
        <v>137</v>
      </c>
      <c r="L28" s="117"/>
      <c r="M28" s="117"/>
      <c r="N28" s="117"/>
      <c r="O28" s="117">
        <v>38</v>
      </c>
      <c r="P28" s="117">
        <v>34</v>
      </c>
      <c r="Q28" s="117"/>
      <c r="R28" s="117"/>
      <c r="S28" s="117"/>
      <c r="T28" s="144"/>
      <c r="V28" s="140">
        <f t="shared" ref="V28" si="1">F28+I28+L28+O28-H28-K28-N28-P28+V27</f>
        <v>807</v>
      </c>
    </row>
  </sheetData>
  <mergeCells count="23">
    <mergeCell ref="A5:B5"/>
    <mergeCell ref="A1:B1"/>
    <mergeCell ref="O1:P1"/>
    <mergeCell ref="A2:B2"/>
    <mergeCell ref="A3:B3"/>
    <mergeCell ref="A4:B4"/>
    <mergeCell ref="A17:B17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8:B18"/>
    <mergeCell ref="A19:B19"/>
    <mergeCell ref="A20:B20"/>
    <mergeCell ref="A21:B21"/>
    <mergeCell ref="A22:B22"/>
  </mergeCells>
  <pageMargins left="0.511811024" right="0.511811024" top="0.78740157499999996" bottom="0.78740157499999996" header="0.31496062000000002" footer="0.31496062000000002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651D4-FD8D-4E4B-9805-EA4BAC132030}">
  <sheetPr>
    <tabColor rgb="FF92D050"/>
  </sheetPr>
  <dimension ref="A1:Q120"/>
  <sheetViews>
    <sheetView zoomScale="50" zoomScaleNormal="50" workbookViewId="0">
      <pane xSplit="1" ySplit="1" topLeftCell="B83" activePane="bottomRight" state="frozen"/>
      <selection pane="topRight"/>
      <selection pane="bottomLeft"/>
      <selection pane="bottomRight"/>
    </sheetView>
  </sheetViews>
  <sheetFormatPr defaultRowHeight="15" x14ac:dyDescent="0.25"/>
  <cols>
    <col min="2" max="2" width="14.7109375" bestFit="1" customWidth="1"/>
    <col min="3" max="5" width="14.7109375" customWidth="1"/>
    <col min="6" max="6" width="10.85546875" bestFit="1" customWidth="1"/>
    <col min="7" max="7" width="10.5703125" bestFit="1" customWidth="1"/>
    <col min="8" max="9" width="14.42578125" bestFit="1" customWidth="1"/>
    <col min="10" max="10" width="18.140625" bestFit="1" customWidth="1"/>
    <col min="11" max="11" width="13.140625" bestFit="1" customWidth="1"/>
    <col min="12" max="12" width="9.42578125" bestFit="1" customWidth="1"/>
    <col min="13" max="13" width="14.42578125" bestFit="1" customWidth="1"/>
    <col min="14" max="14" width="25.28515625" bestFit="1" customWidth="1"/>
    <col min="15" max="15" width="21.140625" bestFit="1" customWidth="1"/>
  </cols>
  <sheetData>
    <row r="1" spans="1:11" x14ac:dyDescent="0.25">
      <c r="A1" t="s">
        <v>0</v>
      </c>
      <c r="B1" t="s">
        <v>22</v>
      </c>
      <c r="C1" t="s">
        <v>23</v>
      </c>
      <c r="D1" t="s">
        <v>24</v>
      </c>
      <c r="E1" t="s">
        <v>27</v>
      </c>
      <c r="F1" t="s">
        <v>23</v>
      </c>
      <c r="G1" t="s">
        <v>24</v>
      </c>
      <c r="I1" t="s">
        <v>25</v>
      </c>
      <c r="J1" t="s">
        <v>26</v>
      </c>
      <c r="K1" t="s">
        <v>21</v>
      </c>
    </row>
    <row r="2" spans="1:11" x14ac:dyDescent="0.25">
      <c r="A2" s="1">
        <v>40909</v>
      </c>
      <c r="B2" s="2"/>
      <c r="C2" s="2"/>
      <c r="D2" s="2"/>
      <c r="E2" s="2"/>
      <c r="F2" s="2"/>
      <c r="G2" s="2"/>
    </row>
    <row r="3" spans="1:11" x14ac:dyDescent="0.25">
      <c r="A3" s="1">
        <v>40940</v>
      </c>
      <c r="B3" s="2"/>
      <c r="C3" s="2"/>
      <c r="D3" s="2"/>
      <c r="E3" s="2"/>
      <c r="F3" s="2"/>
      <c r="G3" s="2"/>
    </row>
    <row r="4" spans="1:11" x14ac:dyDescent="0.25">
      <c r="A4" s="1">
        <v>40969</v>
      </c>
      <c r="B4" s="2"/>
      <c r="C4" s="2"/>
      <c r="D4" s="2"/>
      <c r="E4" s="2"/>
      <c r="F4" s="2"/>
      <c r="G4" s="2"/>
    </row>
    <row r="5" spans="1:11" x14ac:dyDescent="0.25">
      <c r="A5" s="1">
        <v>41000</v>
      </c>
      <c r="B5" s="2"/>
      <c r="C5" s="2"/>
      <c r="D5" s="2"/>
      <c r="E5" s="2"/>
      <c r="F5" s="2"/>
      <c r="G5" s="2"/>
    </row>
    <row r="6" spans="1:11" x14ac:dyDescent="0.25">
      <c r="A6" s="1">
        <v>41030</v>
      </c>
      <c r="B6" s="2"/>
      <c r="C6" s="2"/>
      <c r="D6" s="2"/>
      <c r="E6" s="2"/>
      <c r="F6" s="2"/>
      <c r="G6" s="2"/>
    </row>
    <row r="7" spans="1:11" x14ac:dyDescent="0.25">
      <c r="A7" s="1">
        <v>41061</v>
      </c>
      <c r="B7" s="2"/>
      <c r="C7" s="2"/>
      <c r="D7" s="2"/>
      <c r="E7" s="2"/>
      <c r="F7" s="2"/>
      <c r="G7" s="2"/>
    </row>
    <row r="8" spans="1:11" x14ac:dyDescent="0.25">
      <c r="A8" s="1">
        <v>41091</v>
      </c>
      <c r="B8" s="2"/>
      <c r="C8" s="2"/>
      <c r="D8" s="2"/>
      <c r="E8" s="2"/>
      <c r="F8" s="2"/>
      <c r="G8" s="2"/>
    </row>
    <row r="9" spans="1:11" x14ac:dyDescent="0.25">
      <c r="A9" s="1">
        <v>41122</v>
      </c>
      <c r="B9" s="2"/>
      <c r="C9" s="2"/>
      <c r="D9" s="2"/>
      <c r="E9" s="2"/>
      <c r="F9" s="2"/>
      <c r="G9" s="2"/>
    </row>
    <row r="10" spans="1:11" x14ac:dyDescent="0.25">
      <c r="A10" s="1">
        <v>41153</v>
      </c>
      <c r="B10" s="2"/>
      <c r="C10" s="2"/>
      <c r="D10" s="2"/>
      <c r="E10" s="2"/>
      <c r="F10" s="2"/>
      <c r="G10" s="2"/>
    </row>
    <row r="11" spans="1:11" x14ac:dyDescent="0.25">
      <c r="A11" s="1">
        <v>41183</v>
      </c>
      <c r="B11" s="2"/>
      <c r="C11" s="2"/>
      <c r="D11" s="2"/>
      <c r="E11" s="2"/>
      <c r="F11" s="2"/>
      <c r="G11" s="2"/>
    </row>
    <row r="12" spans="1:11" x14ac:dyDescent="0.25">
      <c r="A12" s="1">
        <v>41214</v>
      </c>
      <c r="B12" s="2"/>
      <c r="C12" s="2"/>
      <c r="D12" s="2"/>
      <c r="E12" s="2"/>
      <c r="F12" s="2"/>
      <c r="G12" s="2"/>
    </row>
    <row r="13" spans="1:11" x14ac:dyDescent="0.25">
      <c r="A13" s="1">
        <v>41244</v>
      </c>
      <c r="B13" s="2"/>
      <c r="C13" s="2"/>
      <c r="D13" s="2"/>
      <c r="E13" s="2"/>
      <c r="F13" s="2"/>
      <c r="G13" s="2"/>
    </row>
    <row r="14" spans="1:11" x14ac:dyDescent="0.25">
      <c r="A14" s="1">
        <v>41275</v>
      </c>
      <c r="B14" s="2"/>
      <c r="C14" s="2"/>
      <c r="D14" s="2"/>
      <c r="E14" s="2"/>
      <c r="F14" s="2"/>
      <c r="G14" s="2"/>
    </row>
    <row r="15" spans="1:11" x14ac:dyDescent="0.25">
      <c r="A15" s="1">
        <v>41306</v>
      </c>
      <c r="B15" s="2"/>
      <c r="C15" s="2"/>
      <c r="D15" s="2"/>
      <c r="E15" s="2"/>
      <c r="F15" s="2"/>
      <c r="G15" s="2"/>
    </row>
    <row r="16" spans="1:11" x14ac:dyDescent="0.25">
      <c r="A16" s="1">
        <v>41334</v>
      </c>
      <c r="B16" s="2"/>
      <c r="C16" s="2"/>
      <c r="D16" s="2"/>
      <c r="E16" s="2"/>
      <c r="F16" s="2"/>
      <c r="G16" s="2"/>
    </row>
    <row r="17" spans="1:7" x14ac:dyDescent="0.25">
      <c r="A17" s="1">
        <v>41365</v>
      </c>
      <c r="B17" s="2"/>
      <c r="C17" s="2"/>
      <c r="D17" s="2"/>
      <c r="E17" s="2"/>
      <c r="F17" s="2"/>
      <c r="G17" s="2"/>
    </row>
    <row r="18" spans="1:7" x14ac:dyDescent="0.25">
      <c r="A18" s="1">
        <v>41395</v>
      </c>
      <c r="B18" s="2"/>
      <c r="C18" s="2"/>
      <c r="D18" s="2"/>
      <c r="E18" s="2"/>
      <c r="F18" s="2"/>
      <c r="G18" s="2"/>
    </row>
    <row r="19" spans="1:7" x14ac:dyDescent="0.25">
      <c r="A19" s="1">
        <v>41426</v>
      </c>
      <c r="B19" s="2"/>
      <c r="C19" s="2"/>
      <c r="D19" s="2"/>
      <c r="E19" s="2"/>
      <c r="F19" s="2"/>
      <c r="G19" s="2"/>
    </row>
    <row r="20" spans="1:7" x14ac:dyDescent="0.25">
      <c r="A20" s="1">
        <v>41456</v>
      </c>
      <c r="B20" s="2"/>
      <c r="C20" s="2"/>
      <c r="D20" s="2"/>
      <c r="E20" s="2"/>
      <c r="F20" s="2"/>
      <c r="G20" s="2"/>
    </row>
    <row r="21" spans="1:7" x14ac:dyDescent="0.25">
      <c r="A21" s="1">
        <v>41487</v>
      </c>
      <c r="B21" s="2"/>
      <c r="C21" s="2"/>
      <c r="D21" s="2"/>
      <c r="E21" s="2"/>
      <c r="F21" s="2"/>
      <c r="G21" s="2"/>
    </row>
    <row r="22" spans="1:7" x14ac:dyDescent="0.25">
      <c r="A22" s="1">
        <v>41518</v>
      </c>
      <c r="B22" s="2"/>
      <c r="C22" s="2"/>
      <c r="D22" s="2"/>
      <c r="E22" s="2"/>
      <c r="F22" s="2"/>
      <c r="G22" s="2"/>
    </row>
    <row r="23" spans="1:7" x14ac:dyDescent="0.25">
      <c r="A23" s="1">
        <v>41548</v>
      </c>
      <c r="B23" s="2"/>
      <c r="C23" s="2"/>
      <c r="D23" s="2"/>
      <c r="E23" s="2"/>
      <c r="F23" s="2"/>
      <c r="G23" s="2"/>
    </row>
    <row r="24" spans="1:7" x14ac:dyDescent="0.25">
      <c r="A24" s="1">
        <v>41579</v>
      </c>
      <c r="B24" s="2"/>
      <c r="C24" s="2"/>
      <c r="D24" s="2"/>
      <c r="E24" s="2"/>
      <c r="F24" s="2"/>
      <c r="G24" s="2"/>
    </row>
    <row r="25" spans="1:7" x14ac:dyDescent="0.25">
      <c r="A25" s="1">
        <v>41609</v>
      </c>
      <c r="B25" s="2"/>
      <c r="C25" s="2"/>
      <c r="D25" s="2"/>
      <c r="E25" s="2"/>
      <c r="F25" s="2"/>
      <c r="G25" s="2"/>
    </row>
    <row r="26" spans="1:7" x14ac:dyDescent="0.25">
      <c r="A26" s="1">
        <v>41640</v>
      </c>
      <c r="B26" s="2"/>
      <c r="C26" s="2"/>
      <c r="D26" s="2"/>
      <c r="E26" s="2"/>
      <c r="F26" s="2"/>
      <c r="G26" s="2"/>
    </row>
    <row r="27" spans="1:7" x14ac:dyDescent="0.25">
      <c r="A27" s="1">
        <v>41671</v>
      </c>
      <c r="B27" s="2"/>
      <c r="C27" s="2"/>
      <c r="D27" s="2"/>
      <c r="E27" s="2"/>
      <c r="F27" s="2"/>
      <c r="G27" s="2"/>
    </row>
    <row r="28" spans="1:7" x14ac:dyDescent="0.25">
      <c r="A28" s="1">
        <v>41699</v>
      </c>
      <c r="B28" s="2"/>
      <c r="C28" s="2"/>
      <c r="D28" s="2"/>
      <c r="E28" s="2"/>
      <c r="F28" s="2"/>
      <c r="G28" s="2"/>
    </row>
    <row r="29" spans="1:7" x14ac:dyDescent="0.25">
      <c r="A29" s="1">
        <v>41730</v>
      </c>
      <c r="B29" s="2"/>
      <c r="C29" s="2"/>
      <c r="D29" s="2"/>
      <c r="E29" s="2"/>
      <c r="F29" s="2"/>
      <c r="G29" s="2"/>
    </row>
    <row r="30" spans="1:7" x14ac:dyDescent="0.25">
      <c r="A30" s="1">
        <v>41760</v>
      </c>
      <c r="B30" s="2"/>
      <c r="C30" s="2"/>
      <c r="D30" s="2"/>
      <c r="E30" s="2"/>
      <c r="F30" s="2"/>
      <c r="G30" s="2"/>
    </row>
    <row r="31" spans="1:7" x14ac:dyDescent="0.25">
      <c r="A31" s="1">
        <v>41791</v>
      </c>
      <c r="B31" s="2"/>
      <c r="C31" s="2"/>
      <c r="D31" s="2"/>
      <c r="E31" s="2"/>
      <c r="F31" s="2"/>
      <c r="G31" s="2"/>
    </row>
    <row r="32" spans="1:7" x14ac:dyDescent="0.25">
      <c r="A32" s="1">
        <v>41821</v>
      </c>
      <c r="B32" s="2"/>
      <c r="C32" s="2"/>
      <c r="D32" s="2"/>
      <c r="E32" s="2"/>
      <c r="F32" s="2"/>
      <c r="G32" s="2"/>
    </row>
    <row r="33" spans="1:13" x14ac:dyDescent="0.25">
      <c r="A33" s="1">
        <v>41852</v>
      </c>
      <c r="B33" s="2"/>
      <c r="C33" s="2"/>
      <c r="D33" s="2"/>
      <c r="E33" s="2"/>
      <c r="F33" s="2"/>
      <c r="G33" s="2"/>
    </row>
    <row r="34" spans="1:13" x14ac:dyDescent="0.25">
      <c r="A34" s="1">
        <v>41883</v>
      </c>
      <c r="B34" s="2"/>
      <c r="C34" s="2"/>
      <c r="D34" s="2"/>
      <c r="E34" s="2"/>
      <c r="F34" s="2"/>
      <c r="G34" s="2"/>
    </row>
    <row r="35" spans="1:13" x14ac:dyDescent="0.25">
      <c r="A35" s="1">
        <v>41913</v>
      </c>
      <c r="B35" s="2"/>
      <c r="C35" s="2"/>
      <c r="D35" s="2"/>
      <c r="E35" s="2"/>
      <c r="F35" s="2"/>
      <c r="G35" s="2"/>
    </row>
    <row r="36" spans="1:13" x14ac:dyDescent="0.25">
      <c r="A36" s="1">
        <v>41944</v>
      </c>
      <c r="B36" s="2"/>
      <c r="C36" s="2"/>
      <c r="D36" s="2"/>
      <c r="E36" s="2"/>
      <c r="F36" s="2"/>
      <c r="G36" s="2"/>
    </row>
    <row r="37" spans="1:13" x14ac:dyDescent="0.25">
      <c r="A37" s="1">
        <v>41974</v>
      </c>
      <c r="B37" s="2"/>
      <c r="C37" s="2"/>
      <c r="D37" s="2"/>
      <c r="E37" s="2"/>
      <c r="F37" s="2"/>
      <c r="G37" s="2"/>
    </row>
    <row r="38" spans="1:13" x14ac:dyDescent="0.25">
      <c r="A38" s="1">
        <v>42005</v>
      </c>
      <c r="B38" s="2"/>
      <c r="C38" s="2"/>
      <c r="D38" s="2"/>
      <c r="E38" s="2"/>
      <c r="F38" s="2"/>
      <c r="G38" s="2"/>
      <c r="L38" s="4"/>
      <c r="M38" s="4"/>
    </row>
    <row r="39" spans="1:13" x14ac:dyDescent="0.25">
      <c r="A39" s="1">
        <v>42036</v>
      </c>
      <c r="B39" s="2"/>
      <c r="C39" s="2"/>
      <c r="D39" s="2"/>
      <c r="E39" s="2"/>
      <c r="F39" s="2"/>
      <c r="G39" s="2"/>
      <c r="L39" s="4"/>
      <c r="M39" s="4"/>
    </row>
    <row r="40" spans="1:13" x14ac:dyDescent="0.25">
      <c r="A40" s="1">
        <v>42064</v>
      </c>
      <c r="B40" s="2"/>
      <c r="C40" s="2"/>
      <c r="D40" s="2"/>
      <c r="E40" s="2"/>
      <c r="F40" s="2"/>
      <c r="G40" s="2"/>
      <c r="L40" s="4"/>
      <c r="M40" s="4"/>
    </row>
    <row r="41" spans="1:13" x14ac:dyDescent="0.25">
      <c r="A41" s="1">
        <v>42095</v>
      </c>
      <c r="B41" s="2"/>
      <c r="C41" s="2"/>
      <c r="D41" s="2"/>
      <c r="E41" s="2"/>
      <c r="F41" s="2"/>
      <c r="G41" s="2"/>
      <c r="L41" s="4"/>
      <c r="M41" s="4"/>
    </row>
    <row r="42" spans="1:13" x14ac:dyDescent="0.25">
      <c r="A42" s="1">
        <v>42125</v>
      </c>
      <c r="B42" s="2"/>
      <c r="C42" s="2"/>
      <c r="D42" s="2"/>
      <c r="E42" s="2"/>
      <c r="F42" s="2"/>
      <c r="G42" s="2"/>
      <c r="L42" s="4"/>
      <c r="M42" s="4"/>
    </row>
    <row r="43" spans="1:13" x14ac:dyDescent="0.25">
      <c r="A43" s="1">
        <v>42156</v>
      </c>
      <c r="B43" s="2"/>
      <c r="C43" s="2"/>
      <c r="D43" s="2"/>
      <c r="E43" s="2"/>
      <c r="F43" s="2"/>
      <c r="G43" s="2"/>
      <c r="L43" s="4"/>
      <c r="M43" s="4"/>
    </row>
    <row r="44" spans="1:13" x14ac:dyDescent="0.25">
      <c r="A44" s="1">
        <v>42186</v>
      </c>
      <c r="B44" s="2"/>
      <c r="C44" s="2"/>
      <c r="D44" s="2"/>
      <c r="E44" s="2"/>
      <c r="F44" s="2"/>
      <c r="G44" s="2"/>
      <c r="L44" s="4"/>
      <c r="M44" s="4"/>
    </row>
    <row r="45" spans="1:13" x14ac:dyDescent="0.25">
      <c r="A45" s="1">
        <v>42217</v>
      </c>
      <c r="B45" s="2"/>
      <c r="C45" s="2"/>
      <c r="D45" s="2"/>
      <c r="E45" s="2"/>
      <c r="F45" s="2"/>
      <c r="G45" s="2"/>
      <c r="L45" s="4"/>
      <c r="M45" s="4"/>
    </row>
    <row r="46" spans="1:13" x14ac:dyDescent="0.25">
      <c r="A46" s="1">
        <v>42248</v>
      </c>
      <c r="B46" s="2"/>
      <c r="C46" s="2"/>
      <c r="D46" s="2"/>
      <c r="E46" s="2"/>
      <c r="F46" s="2"/>
      <c r="G46" s="2"/>
      <c r="L46" s="4"/>
      <c r="M46" s="4"/>
    </row>
    <row r="47" spans="1:13" x14ac:dyDescent="0.25">
      <c r="A47" s="1">
        <v>42278</v>
      </c>
      <c r="B47" s="2"/>
      <c r="C47" s="2"/>
      <c r="D47" s="2"/>
      <c r="E47" s="2"/>
      <c r="F47" s="2"/>
      <c r="G47" s="2"/>
      <c r="L47" s="4"/>
      <c r="M47" s="4"/>
    </row>
    <row r="48" spans="1:13" x14ac:dyDescent="0.25">
      <c r="A48" s="1">
        <v>42309</v>
      </c>
      <c r="B48" s="2"/>
      <c r="C48" s="2"/>
      <c r="D48" s="2"/>
      <c r="E48" s="2"/>
      <c r="F48" s="2"/>
      <c r="G48" s="2"/>
      <c r="L48" s="4"/>
      <c r="M48" s="4"/>
    </row>
    <row r="49" spans="1:15" x14ac:dyDescent="0.25">
      <c r="A49" s="1">
        <v>42339</v>
      </c>
      <c r="B49" s="2"/>
      <c r="C49" s="2"/>
      <c r="D49" s="2"/>
      <c r="E49" s="2"/>
      <c r="F49" s="2"/>
      <c r="G49" s="2"/>
      <c r="I49" s="2"/>
      <c r="J49" s="2"/>
      <c r="L49" s="4"/>
      <c r="M49" s="4"/>
    </row>
    <row r="50" spans="1:15" x14ac:dyDescent="0.25">
      <c r="A50" s="1">
        <v>42370</v>
      </c>
      <c r="B50" s="2"/>
      <c r="C50" s="2"/>
      <c r="D50" s="2"/>
      <c r="E50" s="2"/>
      <c r="F50" s="2"/>
      <c r="G50" s="2"/>
      <c r="I50" s="2"/>
      <c r="J50" s="2"/>
      <c r="K50" s="2"/>
      <c r="L50" s="2"/>
      <c r="M50" s="2"/>
      <c r="N50" s="2"/>
      <c r="O50" s="2"/>
    </row>
    <row r="51" spans="1:15" x14ac:dyDescent="0.25">
      <c r="A51" s="1">
        <v>42401</v>
      </c>
      <c r="B51" s="2"/>
      <c r="C51" s="2"/>
      <c r="D51" s="2"/>
      <c r="E51" s="2"/>
      <c r="F51" s="2"/>
      <c r="G51" s="2"/>
      <c r="I51" s="2"/>
      <c r="J51" s="2"/>
      <c r="K51" s="2"/>
      <c r="L51" s="2"/>
      <c r="M51" s="2"/>
      <c r="N51" s="2"/>
      <c r="O51" s="2"/>
    </row>
    <row r="52" spans="1:15" x14ac:dyDescent="0.25">
      <c r="A52" s="1">
        <v>42430</v>
      </c>
      <c r="B52" s="2"/>
      <c r="C52" s="2"/>
      <c r="D52" s="2"/>
      <c r="E52" s="2"/>
      <c r="F52" s="2"/>
      <c r="G52" s="2"/>
      <c r="I52" s="2"/>
      <c r="J52" s="2"/>
      <c r="K52" s="2"/>
      <c r="L52" s="2"/>
      <c r="M52" s="2"/>
      <c r="N52" s="2"/>
      <c r="O52" s="2"/>
    </row>
    <row r="53" spans="1:15" x14ac:dyDescent="0.25">
      <c r="A53" s="1">
        <v>42461</v>
      </c>
      <c r="B53" s="2"/>
      <c r="C53" s="2"/>
      <c r="D53" s="2"/>
      <c r="E53" s="2"/>
      <c r="F53" s="2"/>
      <c r="G53" s="2"/>
      <c r="I53" s="2"/>
      <c r="J53" s="2"/>
      <c r="K53" s="2"/>
      <c r="L53" s="2"/>
      <c r="M53" s="2"/>
      <c r="N53" s="2"/>
      <c r="O53" s="2"/>
    </row>
    <row r="54" spans="1:15" x14ac:dyDescent="0.25">
      <c r="A54" s="1">
        <v>42491</v>
      </c>
      <c r="B54" s="2"/>
      <c r="C54" s="2"/>
      <c r="D54" s="2"/>
      <c r="E54" s="2"/>
      <c r="F54" s="2"/>
      <c r="G54" s="2"/>
      <c r="I54" s="2"/>
      <c r="J54" s="2"/>
      <c r="K54" s="2"/>
      <c r="L54" s="2"/>
      <c r="M54" s="2"/>
      <c r="N54" s="2"/>
      <c r="O54" s="2"/>
    </row>
    <row r="55" spans="1:15" x14ac:dyDescent="0.25">
      <c r="A55" s="1">
        <v>42522</v>
      </c>
      <c r="B55" s="2"/>
      <c r="C55" s="2"/>
      <c r="D55" s="2"/>
      <c r="E55" s="2"/>
      <c r="F55" s="2"/>
      <c r="G55" s="2"/>
      <c r="I55" s="2"/>
      <c r="J55" s="2"/>
      <c r="K55" s="2"/>
      <c r="L55" s="2"/>
      <c r="M55" s="2"/>
      <c r="N55" s="2"/>
      <c r="O55" s="2"/>
    </row>
    <row r="56" spans="1:15" x14ac:dyDescent="0.25">
      <c r="A56" s="1">
        <v>42552</v>
      </c>
      <c r="B56" s="2"/>
      <c r="C56" s="2"/>
      <c r="D56" s="2"/>
      <c r="E56" s="2"/>
      <c r="F56" s="2"/>
      <c r="G56" s="2"/>
      <c r="I56" s="2"/>
      <c r="J56" s="2"/>
      <c r="K56" s="2"/>
      <c r="L56" s="2"/>
      <c r="M56" s="2"/>
      <c r="N56" s="2"/>
      <c r="O56" s="2"/>
    </row>
    <row r="57" spans="1:15" x14ac:dyDescent="0.25">
      <c r="A57" s="1">
        <v>42583</v>
      </c>
      <c r="B57" s="2"/>
      <c r="C57" s="2"/>
      <c r="D57" s="2"/>
      <c r="E57" s="2"/>
      <c r="F57" s="2"/>
      <c r="G57" s="2"/>
      <c r="I57" s="2"/>
      <c r="J57" s="2"/>
      <c r="K57" s="2"/>
      <c r="L57" s="2"/>
      <c r="M57" s="2"/>
      <c r="N57" s="2"/>
      <c r="O57" s="2"/>
    </row>
    <row r="58" spans="1:15" x14ac:dyDescent="0.25">
      <c r="A58" s="1">
        <v>42614</v>
      </c>
      <c r="B58" s="2"/>
      <c r="C58" s="2"/>
      <c r="D58" s="2"/>
      <c r="E58" s="2"/>
      <c r="F58" s="2"/>
      <c r="G58" s="2"/>
      <c r="I58" s="2"/>
      <c r="J58" s="2"/>
      <c r="K58" s="2"/>
      <c r="L58" s="2"/>
      <c r="M58" s="2"/>
      <c r="N58" s="2"/>
      <c r="O58" s="2"/>
    </row>
    <row r="59" spans="1:15" x14ac:dyDescent="0.25">
      <c r="A59" s="1">
        <v>42644</v>
      </c>
      <c r="B59" s="2"/>
      <c r="C59" s="2"/>
      <c r="D59" s="2"/>
      <c r="E59" s="2"/>
      <c r="F59" s="2"/>
      <c r="G59" s="2"/>
      <c r="I59" s="2"/>
      <c r="J59" s="2"/>
      <c r="K59" s="2"/>
      <c r="L59" s="2"/>
      <c r="M59" s="2"/>
      <c r="N59" s="2"/>
      <c r="O59" s="2"/>
    </row>
    <row r="60" spans="1:15" x14ac:dyDescent="0.25">
      <c r="A60" s="1">
        <v>42675</v>
      </c>
      <c r="B60" s="2"/>
      <c r="C60" s="2"/>
      <c r="D60" s="2"/>
      <c r="E60" s="2"/>
      <c r="F60" s="2"/>
      <c r="G60" s="2"/>
      <c r="I60" s="2"/>
      <c r="J60" s="2"/>
      <c r="K60" s="2"/>
      <c r="L60" s="2"/>
      <c r="M60" s="2"/>
      <c r="N60" s="2"/>
      <c r="O60" s="2"/>
    </row>
    <row r="61" spans="1:15" x14ac:dyDescent="0.25">
      <c r="A61" s="1">
        <v>42705</v>
      </c>
      <c r="B61" s="2"/>
      <c r="C61" s="2"/>
      <c r="D61" s="2"/>
      <c r="E61" s="2"/>
      <c r="F61" s="2"/>
      <c r="G61" s="2"/>
      <c r="I61" s="2"/>
      <c r="J61" s="2"/>
      <c r="K61" s="2"/>
      <c r="L61" s="2"/>
      <c r="M61" s="2"/>
      <c r="N61" s="2"/>
      <c r="O61" s="2"/>
    </row>
    <row r="62" spans="1:15" x14ac:dyDescent="0.25">
      <c r="A62" s="1">
        <v>42736</v>
      </c>
      <c r="B62" s="2"/>
      <c r="C62" s="2"/>
      <c r="D62" s="2"/>
      <c r="E62" s="2"/>
      <c r="F62" s="2"/>
      <c r="G62" s="2"/>
      <c r="I62" s="2"/>
      <c r="J62" s="2"/>
      <c r="K62" s="2"/>
      <c r="L62" s="2"/>
      <c r="M62" s="2"/>
      <c r="N62" s="2"/>
      <c r="O62" s="2"/>
    </row>
    <row r="63" spans="1:15" x14ac:dyDescent="0.25">
      <c r="A63" s="1">
        <v>42767</v>
      </c>
      <c r="B63" s="2"/>
      <c r="C63" s="2"/>
      <c r="D63" s="2"/>
      <c r="E63" s="2"/>
      <c r="F63" s="2"/>
      <c r="G63" s="2"/>
      <c r="I63" s="2"/>
      <c r="J63" s="2"/>
      <c r="K63" s="2"/>
      <c r="L63" s="2"/>
      <c r="M63" s="2"/>
      <c r="N63" s="2"/>
      <c r="O63" s="2"/>
    </row>
    <row r="64" spans="1:15" x14ac:dyDescent="0.25">
      <c r="A64" s="1">
        <v>42795</v>
      </c>
      <c r="B64" s="2"/>
      <c r="C64" s="2"/>
      <c r="D64" s="2"/>
      <c r="E64" s="2"/>
      <c r="F64" s="2"/>
      <c r="G64" s="2"/>
      <c r="I64" s="2"/>
      <c r="J64" s="2"/>
      <c r="K64" s="2"/>
      <c r="L64" s="2"/>
      <c r="M64" s="2"/>
      <c r="N64" s="2"/>
      <c r="O64" s="2"/>
    </row>
    <row r="65" spans="1:15" x14ac:dyDescent="0.25">
      <c r="A65" s="1">
        <v>42826</v>
      </c>
      <c r="B65" s="2"/>
      <c r="C65" s="2"/>
      <c r="D65" s="2"/>
      <c r="E65" s="2"/>
      <c r="F65" s="2"/>
      <c r="G65" s="2"/>
      <c r="I65" s="2"/>
      <c r="J65" s="2"/>
      <c r="K65" s="2"/>
      <c r="L65" s="2"/>
      <c r="M65" s="2"/>
      <c r="N65" s="2"/>
      <c r="O65" s="2"/>
    </row>
    <row r="66" spans="1:15" x14ac:dyDescent="0.25">
      <c r="A66" s="1">
        <v>42856</v>
      </c>
      <c r="B66" s="2"/>
      <c r="C66" s="2"/>
      <c r="D66" s="2"/>
      <c r="E66" s="2"/>
      <c r="F66" s="2"/>
      <c r="G66" s="2"/>
      <c r="I66" s="2"/>
      <c r="J66" s="2"/>
      <c r="K66" s="2"/>
      <c r="L66" s="2"/>
      <c r="M66" s="2"/>
      <c r="N66" s="2"/>
      <c r="O66" s="2"/>
    </row>
    <row r="67" spans="1:15" x14ac:dyDescent="0.25">
      <c r="A67" s="1">
        <v>42887</v>
      </c>
      <c r="B67" s="2"/>
      <c r="C67" s="2"/>
      <c r="D67" s="2"/>
      <c r="E67" s="2"/>
      <c r="F67" s="2"/>
      <c r="G67" s="2"/>
      <c r="I67" s="2"/>
      <c r="J67" s="2"/>
      <c r="K67" s="2"/>
      <c r="L67" s="2"/>
      <c r="M67" s="2"/>
      <c r="N67" s="2"/>
      <c r="O67" s="2"/>
    </row>
    <row r="68" spans="1:15" x14ac:dyDescent="0.25">
      <c r="A68" s="1">
        <v>42917</v>
      </c>
      <c r="B68" s="2"/>
      <c r="C68" s="2"/>
      <c r="D68" s="2"/>
      <c r="E68" s="2"/>
      <c r="F68" s="2"/>
      <c r="G68" s="2"/>
      <c r="I68" s="2"/>
      <c r="J68" s="2"/>
      <c r="K68" s="2"/>
      <c r="L68" s="2"/>
      <c r="M68" s="2"/>
      <c r="N68" s="2"/>
      <c r="O68" s="2"/>
    </row>
    <row r="69" spans="1:15" x14ac:dyDescent="0.25">
      <c r="A69" s="1">
        <v>42948</v>
      </c>
      <c r="B69" s="2"/>
      <c r="C69" s="2"/>
      <c r="D69" s="2"/>
      <c r="E69" s="2"/>
      <c r="F69" s="2"/>
      <c r="G69" s="2"/>
      <c r="I69" s="2"/>
      <c r="J69" s="2"/>
      <c r="K69" s="2"/>
      <c r="L69" s="2"/>
      <c r="M69" s="2"/>
      <c r="N69" s="2"/>
      <c r="O69" s="2"/>
    </row>
    <row r="70" spans="1:15" x14ac:dyDescent="0.25">
      <c r="A70" s="1">
        <v>42979</v>
      </c>
      <c r="B70" s="2"/>
      <c r="C70" s="2"/>
      <c r="D70" s="2"/>
      <c r="E70" s="2"/>
      <c r="F70" s="2"/>
      <c r="G70" s="2"/>
      <c r="I70" s="2"/>
      <c r="J70" s="2"/>
      <c r="K70" s="2"/>
      <c r="L70" s="2"/>
      <c r="M70" s="2"/>
      <c r="N70" s="2"/>
      <c r="O70" s="2"/>
    </row>
    <row r="71" spans="1:15" x14ac:dyDescent="0.25">
      <c r="A71" s="1">
        <v>43009</v>
      </c>
      <c r="B71" s="2"/>
      <c r="C71" s="2"/>
      <c r="D71" s="2"/>
      <c r="E71" s="2"/>
      <c r="F71" s="2"/>
      <c r="G71" s="2"/>
      <c r="I71" s="2"/>
      <c r="J71" s="2"/>
      <c r="K71" s="2"/>
      <c r="L71" s="2"/>
      <c r="M71" s="2"/>
      <c r="N71" s="2"/>
      <c r="O71" s="2"/>
    </row>
    <row r="72" spans="1:15" x14ac:dyDescent="0.25">
      <c r="A72" s="1">
        <v>43040</v>
      </c>
      <c r="B72" s="2"/>
      <c r="C72" s="2"/>
      <c r="D72" s="2"/>
      <c r="E72" s="2"/>
      <c r="F72" s="2"/>
      <c r="G72" s="2"/>
      <c r="I72" s="2"/>
      <c r="J72" s="2"/>
      <c r="K72" s="2"/>
      <c r="L72" s="2"/>
      <c r="M72" s="2"/>
      <c r="N72" s="2"/>
      <c r="O72" s="2"/>
    </row>
    <row r="73" spans="1:15" x14ac:dyDescent="0.25">
      <c r="A73" s="1">
        <v>43070</v>
      </c>
      <c r="B73" s="2"/>
      <c r="C73" s="2"/>
      <c r="D73" s="2"/>
      <c r="E73" s="2"/>
      <c r="F73" s="2"/>
      <c r="G73" s="2"/>
      <c r="I73" s="2"/>
      <c r="J73" s="2"/>
      <c r="K73" s="2"/>
      <c r="L73" s="2"/>
      <c r="M73" s="2"/>
      <c r="N73" s="2"/>
      <c r="O73" s="2"/>
    </row>
    <row r="74" spans="1:15" x14ac:dyDescent="0.25">
      <c r="A74" s="1">
        <v>43101</v>
      </c>
      <c r="B74" s="2"/>
      <c r="C74" s="2"/>
      <c r="D74" s="2"/>
      <c r="E74" s="2"/>
      <c r="F74" s="2"/>
      <c r="G74" s="2"/>
      <c r="I74" s="2"/>
      <c r="J74" s="2"/>
      <c r="K74" s="2"/>
      <c r="L74" s="2"/>
      <c r="M74" s="2"/>
      <c r="N74" s="2"/>
      <c r="O74" s="2"/>
    </row>
    <row r="75" spans="1:15" x14ac:dyDescent="0.25">
      <c r="A75" s="1">
        <v>43132</v>
      </c>
      <c r="B75" s="2"/>
      <c r="C75" s="2"/>
      <c r="D75" s="2"/>
      <c r="E75" s="2"/>
      <c r="F75" s="2"/>
      <c r="G75" s="2"/>
      <c r="I75" s="2"/>
      <c r="J75" s="2"/>
      <c r="K75" s="2"/>
      <c r="L75" s="2"/>
      <c r="M75" s="2"/>
      <c r="N75" s="2"/>
      <c r="O75" s="2"/>
    </row>
    <row r="76" spans="1:15" x14ac:dyDescent="0.25">
      <c r="A76" s="1">
        <v>43160</v>
      </c>
      <c r="B76" s="2"/>
      <c r="C76" s="2"/>
      <c r="D76" s="2"/>
      <c r="E76" s="2"/>
      <c r="F76" s="2"/>
      <c r="G76" s="2"/>
      <c r="I76" s="2"/>
      <c r="J76" s="2"/>
      <c r="K76" s="2"/>
      <c r="L76" s="2"/>
      <c r="M76" s="2"/>
      <c r="N76" s="2"/>
      <c r="O76" s="2"/>
    </row>
    <row r="77" spans="1:15" x14ac:dyDescent="0.25">
      <c r="A77" s="1">
        <v>43191</v>
      </c>
      <c r="B77" s="2"/>
      <c r="C77" s="2"/>
      <c r="D77" s="2"/>
      <c r="E77" s="2"/>
      <c r="F77" s="2"/>
      <c r="G77" s="2"/>
      <c r="I77" s="2"/>
      <c r="J77" s="2"/>
      <c r="K77" s="2"/>
      <c r="L77" s="2"/>
      <c r="M77" s="2"/>
      <c r="N77" s="2"/>
      <c r="O77" s="2"/>
    </row>
    <row r="78" spans="1:15" x14ac:dyDescent="0.25">
      <c r="A78" s="1">
        <v>43221</v>
      </c>
      <c r="B78" s="2"/>
      <c r="C78" s="2"/>
      <c r="D78" s="2"/>
      <c r="E78" s="2"/>
      <c r="F78" s="2"/>
      <c r="G78" s="2"/>
      <c r="I78" s="2"/>
      <c r="J78" s="2"/>
      <c r="K78" s="2"/>
      <c r="L78" s="2"/>
      <c r="M78" s="2"/>
      <c r="N78" s="2"/>
      <c r="O78" s="2"/>
    </row>
    <row r="79" spans="1:15" x14ac:dyDescent="0.25">
      <c r="A79" s="1">
        <v>43252</v>
      </c>
      <c r="B79" s="2"/>
      <c r="C79" s="2"/>
      <c r="D79" s="2"/>
      <c r="E79" s="2"/>
      <c r="F79" s="2"/>
      <c r="G79" s="2"/>
      <c r="I79" s="2"/>
      <c r="J79" s="2"/>
      <c r="K79" s="2"/>
      <c r="L79" s="2"/>
      <c r="M79" s="2"/>
      <c r="N79" s="2"/>
      <c r="O79" s="2"/>
    </row>
    <row r="80" spans="1:15" x14ac:dyDescent="0.25">
      <c r="A80" s="1">
        <v>43282</v>
      </c>
      <c r="B80" s="2"/>
      <c r="C80" s="2"/>
      <c r="D80" s="2"/>
      <c r="E80" s="2"/>
      <c r="F80" s="2"/>
      <c r="G80" s="2"/>
      <c r="I80" s="2"/>
      <c r="J80" s="2"/>
      <c r="K80" s="2"/>
      <c r="L80" s="2"/>
      <c r="M80" s="2"/>
      <c r="N80" s="2"/>
      <c r="O80" s="2"/>
    </row>
    <row r="81" spans="1:17" x14ac:dyDescent="0.25">
      <c r="A81" s="1">
        <v>43313</v>
      </c>
      <c r="B81" s="2"/>
      <c r="C81" s="2"/>
      <c r="D81" s="2"/>
      <c r="E81" s="2"/>
      <c r="F81" s="2"/>
      <c r="G81" s="2"/>
      <c r="I81" s="2"/>
      <c r="J81" s="2"/>
      <c r="K81" s="2"/>
      <c r="L81" s="2"/>
      <c r="M81" s="2"/>
      <c r="N81" s="2"/>
      <c r="O81" s="2"/>
    </row>
    <row r="82" spans="1:17" x14ac:dyDescent="0.25">
      <c r="A82" s="1">
        <v>43344</v>
      </c>
      <c r="B82" s="2"/>
      <c r="C82" s="2"/>
      <c r="D82" s="2"/>
      <c r="E82" s="2"/>
      <c r="F82" s="2"/>
      <c r="G82" s="2"/>
      <c r="I82" s="2"/>
      <c r="J82" s="2"/>
      <c r="K82" s="2"/>
      <c r="L82" s="2"/>
      <c r="M82" s="2"/>
      <c r="N82" s="2"/>
      <c r="O82" s="2"/>
    </row>
    <row r="83" spans="1:17" x14ac:dyDescent="0.25">
      <c r="A83" s="1">
        <v>43374</v>
      </c>
      <c r="B83" s="2"/>
      <c r="C83" s="2"/>
      <c r="D83" s="2"/>
      <c r="E83" s="2"/>
      <c r="F83" s="2"/>
      <c r="G83" s="2"/>
      <c r="I83" s="2"/>
      <c r="J83" s="2"/>
      <c r="K83" s="2"/>
      <c r="L83" s="2"/>
      <c r="M83" s="2"/>
      <c r="N83" s="2"/>
      <c r="O83" s="2"/>
    </row>
    <row r="84" spans="1:17" x14ac:dyDescent="0.25">
      <c r="A84" s="1">
        <v>43405</v>
      </c>
      <c r="B84" s="2"/>
      <c r="C84" s="2"/>
      <c r="D84" s="2"/>
      <c r="E84" s="2"/>
      <c r="F84" s="2"/>
      <c r="G84" s="2"/>
      <c r="I84" s="2"/>
      <c r="J84" s="2"/>
      <c r="K84" s="2"/>
      <c r="L84" s="2"/>
      <c r="M84" s="2"/>
      <c r="N84" s="2"/>
      <c r="O84" s="2"/>
    </row>
    <row r="85" spans="1:17" x14ac:dyDescent="0.25">
      <c r="A85" s="1">
        <v>43435</v>
      </c>
      <c r="B85" s="2"/>
      <c r="C85" s="2"/>
      <c r="D85" s="2"/>
      <c r="E85" s="2"/>
      <c r="F85" s="2"/>
      <c r="G85" s="2"/>
      <c r="I85" s="2"/>
      <c r="J85" s="2"/>
      <c r="K85" s="2"/>
      <c r="L85" s="2"/>
      <c r="M85" s="2"/>
      <c r="N85" s="2"/>
      <c r="O85" s="2"/>
    </row>
    <row r="86" spans="1:17" x14ac:dyDescent="0.25">
      <c r="A86" s="1">
        <v>43466</v>
      </c>
      <c r="B86" s="4">
        <f t="shared" ref="B86:B109" si="0">C86+D86+E86</f>
        <v>12410</v>
      </c>
      <c r="C86" s="4">
        <v>10498</v>
      </c>
      <c r="D86" s="4">
        <v>1912</v>
      </c>
      <c r="E86" s="2"/>
      <c r="F86" s="2">
        <v>249210</v>
      </c>
      <c r="G86" s="2">
        <v>2884</v>
      </c>
      <c r="I86" s="2"/>
      <c r="J86" s="2"/>
      <c r="K86" s="2"/>
      <c r="L86" s="3"/>
      <c r="M86" s="2"/>
      <c r="N86" s="2"/>
      <c r="O86" s="2"/>
      <c r="P86" s="30"/>
    </row>
    <row r="87" spans="1:17" x14ac:dyDescent="0.25">
      <c r="A87" s="1">
        <v>43497</v>
      </c>
      <c r="B87" s="4">
        <f t="shared" si="0"/>
        <v>14888</v>
      </c>
      <c r="C87" s="4">
        <v>4256</v>
      </c>
      <c r="D87" s="4">
        <v>2679</v>
      </c>
      <c r="E87" s="4">
        <v>7953</v>
      </c>
      <c r="F87" s="2">
        <v>156532</v>
      </c>
      <c r="G87" s="2">
        <v>2331</v>
      </c>
      <c r="I87" s="2">
        <v>212796</v>
      </c>
      <c r="J87" s="2">
        <v>7953</v>
      </c>
      <c r="K87" s="2"/>
      <c r="L87" s="3"/>
      <c r="M87" s="2"/>
      <c r="N87" s="2"/>
      <c r="O87" s="2"/>
    </row>
    <row r="88" spans="1:17" x14ac:dyDescent="0.25">
      <c r="A88" s="1">
        <v>43525</v>
      </c>
      <c r="B88" s="4">
        <f t="shared" si="0"/>
        <v>22208</v>
      </c>
      <c r="C88" s="4">
        <v>3258</v>
      </c>
      <c r="D88" s="4">
        <v>4206</v>
      </c>
      <c r="E88" s="4">
        <v>14744</v>
      </c>
      <c r="F88" s="2">
        <v>175569</v>
      </c>
      <c r="G88" s="2">
        <v>2627</v>
      </c>
      <c r="I88" s="2">
        <v>257339</v>
      </c>
      <c r="J88" s="2">
        <v>14744</v>
      </c>
      <c r="K88" s="2"/>
      <c r="L88" s="3"/>
      <c r="M88" s="2"/>
      <c r="N88" s="2"/>
      <c r="O88" s="2"/>
    </row>
    <row r="89" spans="1:17" x14ac:dyDescent="0.25">
      <c r="A89" s="1">
        <v>43556</v>
      </c>
      <c r="B89" s="4">
        <f t="shared" si="0"/>
        <v>65441</v>
      </c>
      <c r="C89" s="4">
        <v>4467</v>
      </c>
      <c r="D89" s="4">
        <v>2539</v>
      </c>
      <c r="E89" s="4">
        <v>58435</v>
      </c>
      <c r="F89" s="2">
        <v>157431</v>
      </c>
      <c r="G89" s="2">
        <v>2264</v>
      </c>
      <c r="I89" s="2">
        <v>303123</v>
      </c>
      <c r="J89" s="2">
        <v>58435</v>
      </c>
      <c r="K89" s="2"/>
      <c r="L89" s="3"/>
      <c r="M89" s="2"/>
      <c r="N89" s="2"/>
      <c r="O89" s="2"/>
    </row>
    <row r="90" spans="1:17" x14ac:dyDescent="0.25">
      <c r="A90" s="1">
        <v>43586</v>
      </c>
      <c r="B90" s="4">
        <f t="shared" si="0"/>
        <v>88838</v>
      </c>
      <c r="C90" s="4">
        <v>5162</v>
      </c>
      <c r="D90" s="4">
        <v>2865</v>
      </c>
      <c r="E90" s="4">
        <v>80811</v>
      </c>
      <c r="F90" s="2">
        <v>167001</v>
      </c>
      <c r="G90" s="2">
        <v>2090</v>
      </c>
      <c r="I90" s="2">
        <v>270170</v>
      </c>
      <c r="J90" s="2">
        <v>80811</v>
      </c>
      <c r="K90" s="2"/>
      <c r="L90" s="3"/>
      <c r="M90" s="2"/>
      <c r="N90" s="2"/>
      <c r="O90" s="2"/>
    </row>
    <row r="91" spans="1:17" x14ac:dyDescent="0.25">
      <c r="A91" s="1">
        <v>43617</v>
      </c>
      <c r="B91" s="4">
        <f t="shared" si="0"/>
        <v>82242</v>
      </c>
      <c r="C91" s="4">
        <v>4833</v>
      </c>
      <c r="D91" s="4">
        <v>2771</v>
      </c>
      <c r="E91" s="4">
        <f>26343+48295</f>
        <v>74638</v>
      </c>
      <c r="F91" s="2">
        <v>159116</v>
      </c>
      <c r="G91" s="2">
        <v>1959</v>
      </c>
      <c r="I91" s="2">
        <f>105058+150188</f>
        <v>255246</v>
      </c>
      <c r="J91" s="2">
        <f>26343+48295</f>
        <v>74638</v>
      </c>
      <c r="K91" s="2"/>
      <c r="L91" s="3"/>
      <c r="M91" s="2"/>
      <c r="N91" s="2"/>
      <c r="O91" s="2"/>
    </row>
    <row r="92" spans="1:17" x14ac:dyDescent="0.25">
      <c r="A92" s="1">
        <v>43647</v>
      </c>
      <c r="B92" s="4">
        <f t="shared" si="0"/>
        <v>96026</v>
      </c>
      <c r="C92" s="4">
        <v>3990</v>
      </c>
      <c r="D92" s="4">
        <v>3648</v>
      </c>
      <c r="E92" s="4">
        <v>88388</v>
      </c>
      <c r="F92" s="2">
        <v>150225</v>
      </c>
      <c r="G92" s="2">
        <v>2237</v>
      </c>
      <c r="I92" s="2">
        <v>325844</v>
      </c>
      <c r="J92" s="2">
        <v>88388</v>
      </c>
      <c r="K92" s="2"/>
      <c r="L92" s="2"/>
      <c r="M92" s="2"/>
      <c r="N92" s="2"/>
      <c r="O92" s="2"/>
      <c r="Q92" s="2"/>
    </row>
    <row r="93" spans="1:17" x14ac:dyDescent="0.25">
      <c r="A93" s="1">
        <v>43678</v>
      </c>
      <c r="B93" s="4">
        <f t="shared" si="0"/>
        <v>71664</v>
      </c>
      <c r="C93" s="4">
        <v>4243</v>
      </c>
      <c r="D93" s="4">
        <v>2922</v>
      </c>
      <c r="E93" s="4">
        <v>64499</v>
      </c>
      <c r="F93" s="2">
        <v>135674</v>
      </c>
      <c r="G93" s="2">
        <v>2145</v>
      </c>
      <c r="I93" s="2">
        <v>296140</v>
      </c>
      <c r="J93" s="2">
        <v>64499</v>
      </c>
      <c r="K93" s="2"/>
      <c r="L93" s="3"/>
      <c r="M93" s="2"/>
      <c r="N93" s="2"/>
      <c r="O93" s="2"/>
    </row>
    <row r="94" spans="1:17" x14ac:dyDescent="0.25">
      <c r="A94" s="1">
        <v>43709</v>
      </c>
      <c r="B94" s="4">
        <f t="shared" si="0"/>
        <v>70307</v>
      </c>
      <c r="C94" s="4">
        <v>4760</v>
      </c>
      <c r="D94" s="4">
        <v>2843</v>
      </c>
      <c r="E94" s="4">
        <v>62704</v>
      </c>
      <c r="F94" s="2">
        <v>130727</v>
      </c>
      <c r="G94" s="2">
        <v>2485</v>
      </c>
      <c r="I94" s="2">
        <v>298324</v>
      </c>
      <c r="J94" s="2">
        <v>62704</v>
      </c>
      <c r="K94" s="2"/>
      <c r="L94" s="3"/>
      <c r="M94" s="2"/>
      <c r="N94" s="2"/>
      <c r="O94" s="2"/>
    </row>
    <row r="95" spans="1:17" x14ac:dyDescent="0.25">
      <c r="A95" s="1">
        <v>43739</v>
      </c>
      <c r="B95" s="4">
        <f t="shared" si="0"/>
        <v>73817</v>
      </c>
      <c r="C95" s="4">
        <v>3584</v>
      </c>
      <c r="D95" s="4">
        <v>3357</v>
      </c>
      <c r="E95" s="4">
        <v>66876</v>
      </c>
      <c r="F95" s="2">
        <v>140358</v>
      </c>
      <c r="G95" s="2">
        <v>2601</v>
      </c>
      <c r="I95" s="2">
        <v>343691</v>
      </c>
      <c r="J95" s="2">
        <v>66876</v>
      </c>
      <c r="K95" s="2"/>
      <c r="L95" s="3"/>
      <c r="M95" s="2"/>
      <c r="N95" s="2"/>
      <c r="O95" s="2"/>
    </row>
    <row r="96" spans="1:17" x14ac:dyDescent="0.25">
      <c r="A96" s="1">
        <v>43770</v>
      </c>
      <c r="B96" s="4">
        <f t="shared" si="0"/>
        <v>70542</v>
      </c>
      <c r="C96" s="4">
        <v>3398</v>
      </c>
      <c r="D96" s="4">
        <v>3185</v>
      </c>
      <c r="E96" s="4">
        <v>63959</v>
      </c>
      <c r="F96" s="2">
        <v>135600</v>
      </c>
      <c r="G96" s="2">
        <v>2708</v>
      </c>
      <c r="I96" s="2">
        <v>334142</v>
      </c>
      <c r="J96" s="2">
        <v>63959</v>
      </c>
      <c r="K96" s="2"/>
      <c r="L96" s="3"/>
      <c r="M96" s="2"/>
      <c r="N96" s="2"/>
      <c r="O96" s="2"/>
    </row>
    <row r="97" spans="1:17" x14ac:dyDescent="0.25">
      <c r="A97" s="1">
        <v>43800</v>
      </c>
      <c r="B97" s="4">
        <f t="shared" si="0"/>
        <v>91811</v>
      </c>
      <c r="C97" s="4">
        <v>3918</v>
      </c>
      <c r="D97" s="4">
        <v>4191</v>
      </c>
      <c r="E97" s="4">
        <v>83702</v>
      </c>
      <c r="F97" s="2">
        <v>178807</v>
      </c>
      <c r="G97" s="2">
        <v>3097</v>
      </c>
      <c r="I97" s="2">
        <v>350599</v>
      </c>
      <c r="J97" s="2">
        <v>83702</v>
      </c>
      <c r="K97" s="2"/>
      <c r="L97" s="3"/>
      <c r="M97" s="3"/>
      <c r="N97" s="2">
        <f>AVERAGE(B86:B97)</f>
        <v>63349.5</v>
      </c>
      <c r="O97" s="2" t="e">
        <f>AVERAGE(K86:K97)</f>
        <v>#DIV/0!</v>
      </c>
    </row>
    <row r="98" spans="1:17" x14ac:dyDescent="0.25">
      <c r="A98" s="1">
        <v>43831</v>
      </c>
      <c r="B98" s="4">
        <f t="shared" si="0"/>
        <v>80676</v>
      </c>
      <c r="C98" s="4">
        <v>2812</v>
      </c>
      <c r="D98" s="4">
        <v>3971</v>
      </c>
      <c r="E98" s="4">
        <v>73893</v>
      </c>
      <c r="F98" s="2">
        <v>159008</v>
      </c>
      <c r="G98" s="2">
        <v>2817</v>
      </c>
      <c r="I98" s="2">
        <v>286482</v>
      </c>
      <c r="J98" s="2">
        <v>73893</v>
      </c>
      <c r="K98" s="2"/>
      <c r="L98" s="3"/>
      <c r="M98" s="2"/>
      <c r="N98" s="2"/>
      <c r="O98" s="2"/>
    </row>
    <row r="99" spans="1:17" x14ac:dyDescent="0.25">
      <c r="A99" s="1">
        <v>43862</v>
      </c>
      <c r="B99" s="4">
        <f t="shared" si="0"/>
        <v>71345</v>
      </c>
      <c r="C99" s="4">
        <v>2218</v>
      </c>
      <c r="D99" s="4">
        <v>3063</v>
      </c>
      <c r="E99" s="4">
        <v>66064</v>
      </c>
      <c r="F99" s="2">
        <v>136569</v>
      </c>
      <c r="G99" s="2">
        <v>2585</v>
      </c>
      <c r="I99" s="2">
        <v>246504</v>
      </c>
      <c r="J99" s="2">
        <v>66064</v>
      </c>
      <c r="K99" s="2"/>
      <c r="L99" s="3"/>
      <c r="M99" s="2"/>
      <c r="N99" s="2"/>
      <c r="O99" s="2"/>
      <c r="P99" s="3"/>
    </row>
    <row r="100" spans="1:17" x14ac:dyDescent="0.25">
      <c r="A100" s="1">
        <v>43891</v>
      </c>
      <c r="B100" s="4">
        <f t="shared" si="0"/>
        <v>76442</v>
      </c>
      <c r="C100" s="4">
        <v>1091</v>
      </c>
      <c r="D100" s="4">
        <v>1458</v>
      </c>
      <c r="E100" s="4">
        <v>73893</v>
      </c>
      <c r="F100" s="2"/>
      <c r="G100" s="2"/>
      <c r="I100" s="2"/>
      <c r="J100" s="2"/>
      <c r="K100" s="2"/>
      <c r="L100" s="3"/>
      <c r="M100" s="2"/>
      <c r="N100" s="2"/>
      <c r="O100" s="2"/>
      <c r="P100" s="3"/>
    </row>
    <row r="101" spans="1:17" x14ac:dyDescent="0.25">
      <c r="A101" s="1">
        <v>43922</v>
      </c>
      <c r="B101" s="4">
        <f t="shared" si="0"/>
        <v>17389</v>
      </c>
      <c r="C101" s="4">
        <v>5649</v>
      </c>
      <c r="D101" s="4">
        <v>1310</v>
      </c>
      <c r="E101" s="4">
        <v>10430</v>
      </c>
      <c r="F101" s="2">
        <v>5649</v>
      </c>
      <c r="G101" s="2">
        <v>1310</v>
      </c>
      <c r="I101" s="2">
        <v>23184</v>
      </c>
      <c r="J101" s="2">
        <v>10430</v>
      </c>
      <c r="K101" s="2"/>
      <c r="L101" s="2"/>
      <c r="M101" s="2"/>
      <c r="N101" s="2"/>
      <c r="O101" s="2"/>
      <c r="P101" s="3"/>
    </row>
    <row r="102" spans="1:17" x14ac:dyDescent="0.25">
      <c r="A102" s="1">
        <v>43952</v>
      </c>
      <c r="B102" s="4">
        <f t="shared" si="0"/>
        <v>29163</v>
      </c>
      <c r="C102" s="4">
        <v>12537</v>
      </c>
      <c r="D102" s="4">
        <v>2570</v>
      </c>
      <c r="E102" s="4">
        <v>14056</v>
      </c>
      <c r="F102" s="2">
        <v>49830</v>
      </c>
      <c r="G102" s="2">
        <v>708</v>
      </c>
      <c r="I102" s="2">
        <v>42490</v>
      </c>
      <c r="J102" s="2">
        <v>14056</v>
      </c>
      <c r="K102" s="2"/>
      <c r="L102" s="3"/>
      <c r="M102" s="2"/>
      <c r="N102" s="2"/>
      <c r="O102" s="2"/>
      <c r="P102" s="3"/>
    </row>
    <row r="103" spans="1:17" x14ac:dyDescent="0.25">
      <c r="A103" s="1">
        <v>43983</v>
      </c>
      <c r="B103" s="4">
        <f t="shared" si="0"/>
        <v>38311</v>
      </c>
      <c r="C103" s="4">
        <v>18681</v>
      </c>
      <c r="D103" s="4">
        <v>3376</v>
      </c>
      <c r="E103" s="4">
        <v>16254</v>
      </c>
      <c r="F103" s="2">
        <v>65104</v>
      </c>
      <c r="G103" s="6">
        <v>974</v>
      </c>
      <c r="I103" s="2">
        <v>61113</v>
      </c>
      <c r="J103" s="2">
        <v>16254</v>
      </c>
      <c r="K103" s="2"/>
      <c r="L103" s="3"/>
      <c r="M103" s="2"/>
      <c r="N103" s="2"/>
      <c r="O103" s="2"/>
      <c r="P103" s="3"/>
    </row>
    <row r="104" spans="1:17" x14ac:dyDescent="0.25">
      <c r="A104" s="1">
        <v>44013</v>
      </c>
      <c r="B104" s="4">
        <f t="shared" si="0"/>
        <v>24314</v>
      </c>
      <c r="C104" s="4">
        <v>2968</v>
      </c>
      <c r="D104" s="4">
        <v>3398</v>
      </c>
      <c r="E104" s="4">
        <v>17948</v>
      </c>
      <c r="F104" s="2">
        <v>68276</v>
      </c>
      <c r="G104" s="6">
        <v>1270</v>
      </c>
      <c r="I104" s="2">
        <v>63070</v>
      </c>
      <c r="J104" s="2">
        <v>17948</v>
      </c>
      <c r="K104" s="2"/>
      <c r="L104" s="3"/>
      <c r="M104" s="2"/>
      <c r="N104" s="2"/>
      <c r="O104" s="2"/>
      <c r="P104" s="3"/>
      <c r="Q104" s="2"/>
    </row>
    <row r="105" spans="1:17" x14ac:dyDescent="0.25">
      <c r="A105" s="1">
        <v>44044</v>
      </c>
      <c r="B105" s="4">
        <f t="shared" si="0"/>
        <v>30300</v>
      </c>
      <c r="C105" s="4">
        <v>1959</v>
      </c>
      <c r="D105" s="4">
        <v>3814</v>
      </c>
      <c r="E105" s="4">
        <v>24527</v>
      </c>
      <c r="F105" s="2">
        <v>83859</v>
      </c>
      <c r="G105" s="6">
        <v>1507</v>
      </c>
      <c r="I105" s="2">
        <v>87697</v>
      </c>
      <c r="J105" s="2">
        <v>24527</v>
      </c>
      <c r="K105" s="2"/>
      <c r="L105" s="3"/>
      <c r="M105" s="6"/>
      <c r="N105" s="2"/>
      <c r="O105" s="2"/>
      <c r="P105" s="3"/>
    </row>
    <row r="106" spans="1:17" x14ac:dyDescent="0.25">
      <c r="A106" s="1">
        <v>44075</v>
      </c>
      <c r="B106" s="4">
        <f t="shared" si="0"/>
        <v>44525</v>
      </c>
      <c r="C106" s="4">
        <v>13876</v>
      </c>
      <c r="D106" s="4">
        <v>3007</v>
      </c>
      <c r="E106" s="4">
        <v>27642</v>
      </c>
      <c r="F106" s="2">
        <v>88396</v>
      </c>
      <c r="G106" s="6">
        <v>1835</v>
      </c>
      <c r="I106" s="2">
        <v>104741</v>
      </c>
      <c r="J106" s="2">
        <v>27642</v>
      </c>
      <c r="K106" s="2"/>
      <c r="L106" s="3"/>
      <c r="M106" s="6"/>
      <c r="N106" s="2"/>
      <c r="O106" s="2"/>
      <c r="P106" s="3"/>
    </row>
    <row r="107" spans="1:17" x14ac:dyDescent="0.25">
      <c r="A107" s="1">
        <v>44105</v>
      </c>
      <c r="B107" s="4">
        <f t="shared" si="0"/>
        <v>60775</v>
      </c>
      <c r="C107" s="4">
        <v>24752</v>
      </c>
      <c r="D107" s="4">
        <v>3596</v>
      </c>
      <c r="E107" s="4">
        <v>32427</v>
      </c>
      <c r="F107" s="2">
        <v>105484</v>
      </c>
      <c r="G107" s="6">
        <v>2139</v>
      </c>
      <c r="I107" s="2">
        <v>95483</v>
      </c>
      <c r="J107" s="4">
        <v>32427</v>
      </c>
      <c r="K107" s="2"/>
      <c r="L107" s="3"/>
      <c r="M107" s="6"/>
      <c r="N107" s="2"/>
      <c r="O107" s="2"/>
      <c r="P107" s="3"/>
    </row>
    <row r="108" spans="1:17" x14ac:dyDescent="0.25">
      <c r="A108" s="1">
        <v>44136</v>
      </c>
      <c r="B108" s="4">
        <f t="shared" si="0"/>
        <v>47495</v>
      </c>
      <c r="C108" s="4">
        <v>10499</v>
      </c>
      <c r="D108" s="4">
        <v>3648</v>
      </c>
      <c r="E108" s="4">
        <v>33348</v>
      </c>
      <c r="F108" s="2">
        <v>102957</v>
      </c>
      <c r="G108" s="6">
        <v>2001</v>
      </c>
      <c r="I108" s="2">
        <v>81710</v>
      </c>
      <c r="J108" s="2">
        <v>33348</v>
      </c>
      <c r="K108" s="2"/>
      <c r="L108" s="3"/>
      <c r="M108" s="6"/>
      <c r="N108" s="2"/>
      <c r="O108" s="2"/>
      <c r="P108" s="3"/>
    </row>
    <row r="109" spans="1:17" x14ac:dyDescent="0.25">
      <c r="A109" s="1">
        <v>44166</v>
      </c>
      <c r="B109" s="4">
        <f t="shared" si="0"/>
        <v>48633</v>
      </c>
      <c r="C109" s="4">
        <v>4316</v>
      </c>
      <c r="D109" s="4">
        <v>4009</v>
      </c>
      <c r="E109" s="4">
        <v>40308</v>
      </c>
      <c r="F109" s="2">
        <v>125902</v>
      </c>
      <c r="G109" s="6">
        <v>2546</v>
      </c>
      <c r="I109" s="2">
        <v>136972</v>
      </c>
      <c r="J109" s="2">
        <v>40308</v>
      </c>
      <c r="K109" s="2"/>
      <c r="L109" s="3"/>
      <c r="M109" s="3"/>
      <c r="N109" s="2">
        <f>AVERAGE(B98:B109)</f>
        <v>47447.333333333336</v>
      </c>
      <c r="O109" s="2" t="e">
        <f>AVERAGE(K98:K109)</f>
        <v>#DIV/0!</v>
      </c>
      <c r="P109" s="3"/>
    </row>
    <row r="110" spans="1:17" x14ac:dyDescent="0.25">
      <c r="B110" s="2">
        <f>SUM(B98:B109)</f>
        <v>569368</v>
      </c>
      <c r="L110" s="31"/>
      <c r="M110" s="32"/>
      <c r="N110" s="32">
        <f>N109/N97</f>
        <v>0.74897723475849587</v>
      </c>
    </row>
    <row r="111" spans="1:17" x14ac:dyDescent="0.25">
      <c r="B111" t="s">
        <v>30</v>
      </c>
      <c r="C111" s="5">
        <f>C112/B112</f>
        <v>7.4148177965098386E-2</v>
      </c>
      <c r="D111" s="5">
        <f>D112/B112</f>
        <v>4.8827009947460781E-2</v>
      </c>
      <c r="E111" s="5">
        <f>E112/B112</f>
        <v>0.87702481208744087</v>
      </c>
      <c r="N111" s="32">
        <f>B109/B97</f>
        <v>0.52970776922155294</v>
      </c>
    </row>
    <row r="112" spans="1:17" x14ac:dyDescent="0.25">
      <c r="B112" s="2">
        <f t="shared" ref="B112:G112" si="1">SUM(B86:B97)</f>
        <v>760194</v>
      </c>
      <c r="C112" s="2">
        <f t="shared" si="1"/>
        <v>56367</v>
      </c>
      <c r="D112" s="2">
        <f t="shared" si="1"/>
        <v>37118</v>
      </c>
      <c r="E112" s="2">
        <f t="shared" si="1"/>
        <v>666709</v>
      </c>
      <c r="F112" s="2">
        <f t="shared" si="1"/>
        <v>1936250</v>
      </c>
      <c r="G112" s="2">
        <f t="shared" si="1"/>
        <v>29428</v>
      </c>
      <c r="I112" s="2">
        <f>F112+E112</f>
        <v>2602959</v>
      </c>
      <c r="J112" s="2">
        <f>F112+G112+E112</f>
        <v>2632387</v>
      </c>
    </row>
    <row r="113" spans="2:11" x14ac:dyDescent="0.25">
      <c r="B113" s="2">
        <f t="shared" ref="B113:G113" si="2">SUM(B98:B109)</f>
        <v>569368</v>
      </c>
      <c r="C113" s="2">
        <f t="shared" si="2"/>
        <v>101358</v>
      </c>
      <c r="D113" s="2">
        <f t="shared" si="2"/>
        <v>37220</v>
      </c>
      <c r="E113" s="2">
        <f t="shared" si="2"/>
        <v>430790</v>
      </c>
      <c r="F113" s="2">
        <f t="shared" si="2"/>
        <v>991034</v>
      </c>
      <c r="G113" s="2">
        <f t="shared" si="2"/>
        <v>19692</v>
      </c>
      <c r="I113" s="2">
        <f>F113+E113</f>
        <v>1421824</v>
      </c>
      <c r="J113" s="2">
        <f>F113+G113+E113</f>
        <v>1441516</v>
      </c>
    </row>
    <row r="114" spans="2:11" x14ac:dyDescent="0.25">
      <c r="B114" s="3">
        <f t="shared" ref="B114:J114" si="3">-100%+B113/B112</f>
        <v>-0.25102276524150413</v>
      </c>
      <c r="C114" s="3">
        <f>-100%+C113/C112</f>
        <v>0.79817978604502637</v>
      </c>
      <c r="D114" s="3">
        <f>-100%+D113/D112</f>
        <v>2.7479928875477899E-3</v>
      </c>
      <c r="E114" s="3">
        <f>-100%+E113/E112</f>
        <v>-0.353856030142086</v>
      </c>
      <c r="F114" s="3">
        <f t="shared" si="3"/>
        <v>-0.48816836668818597</v>
      </c>
      <c r="G114" s="3">
        <f t="shared" si="3"/>
        <v>-0.33084137556069049</v>
      </c>
      <c r="I114" s="3">
        <f t="shared" si="3"/>
        <v>-0.45376627138575754</v>
      </c>
      <c r="J114" s="3">
        <f t="shared" si="3"/>
        <v>-0.45239206849144897</v>
      </c>
    </row>
    <row r="115" spans="2:11" x14ac:dyDescent="0.25">
      <c r="B115" t="s">
        <v>31</v>
      </c>
    </row>
    <row r="116" spans="2:11" x14ac:dyDescent="0.25">
      <c r="B116" s="2">
        <f t="shared" ref="B116:G117" si="4">B112/12</f>
        <v>63349.5</v>
      </c>
      <c r="C116" s="2">
        <f t="shared" ref="C116:E117" si="5">C112/12</f>
        <v>4697.25</v>
      </c>
      <c r="D116" s="2">
        <f t="shared" si="5"/>
        <v>3093.1666666666665</v>
      </c>
      <c r="E116" s="2">
        <f t="shared" si="5"/>
        <v>55559.083333333336</v>
      </c>
      <c r="F116" s="2">
        <f t="shared" si="4"/>
        <v>161354.16666666666</v>
      </c>
      <c r="G116" s="2">
        <f t="shared" si="4"/>
        <v>2452.3333333333335</v>
      </c>
      <c r="I116" s="2">
        <f>F116+E116</f>
        <v>216913.25</v>
      </c>
      <c r="J116" s="2">
        <f>F116+G116+E116</f>
        <v>219365.58333333334</v>
      </c>
    </row>
    <row r="117" spans="2:11" x14ac:dyDescent="0.25">
      <c r="B117" s="2">
        <f t="shared" si="4"/>
        <v>47447.333333333336</v>
      </c>
      <c r="C117" s="2">
        <f t="shared" si="5"/>
        <v>8446.5</v>
      </c>
      <c r="D117" s="2">
        <f t="shared" si="5"/>
        <v>3101.6666666666665</v>
      </c>
      <c r="E117" s="2">
        <f t="shared" si="5"/>
        <v>35899.166666666664</v>
      </c>
      <c r="F117" s="2">
        <f t="shared" si="4"/>
        <v>82586.166666666672</v>
      </c>
      <c r="G117" s="2">
        <f t="shared" si="4"/>
        <v>1641</v>
      </c>
      <c r="I117" s="2">
        <f>F117+E117</f>
        <v>118485.33333333334</v>
      </c>
      <c r="J117" s="2">
        <f>F117+G117+E117</f>
        <v>120126.33333333334</v>
      </c>
    </row>
    <row r="118" spans="2:11" x14ac:dyDescent="0.25">
      <c r="B118" t="s">
        <v>32</v>
      </c>
      <c r="K118">
        <v>307</v>
      </c>
    </row>
    <row r="119" spans="2:11" x14ac:dyDescent="0.25">
      <c r="B119" s="2">
        <f t="shared" ref="B119:G120" si="6">B112/365</f>
        <v>2082.7232876712328</v>
      </c>
      <c r="C119" s="2">
        <f t="shared" ref="C119:E120" si="7">C112/365</f>
        <v>154.43013698630136</v>
      </c>
      <c r="D119" s="2">
        <f t="shared" si="7"/>
        <v>101.69315068493151</v>
      </c>
      <c r="E119" s="2">
        <f t="shared" si="7"/>
        <v>1826.6</v>
      </c>
      <c r="F119" s="2">
        <f t="shared" si="6"/>
        <v>5304.7945205479455</v>
      </c>
      <c r="G119" s="2">
        <f t="shared" si="6"/>
        <v>80.62465753424658</v>
      </c>
      <c r="I119" s="2">
        <f>F119+E119</f>
        <v>7131.3945205479449</v>
      </c>
      <c r="J119" s="2">
        <f>F119+G119+E119</f>
        <v>7212.0191780821915</v>
      </c>
      <c r="K119" s="34">
        <f>J119/$K$118</f>
        <v>23.491919146847529</v>
      </c>
    </row>
    <row r="120" spans="2:11" x14ac:dyDescent="0.25">
      <c r="B120" s="2">
        <f t="shared" si="6"/>
        <v>1559.9123287671232</v>
      </c>
      <c r="C120" s="2">
        <f t="shared" si="7"/>
        <v>277.69315068493148</v>
      </c>
      <c r="D120" s="2">
        <f t="shared" si="7"/>
        <v>101.97260273972603</v>
      </c>
      <c r="E120" s="2">
        <f t="shared" si="7"/>
        <v>1180.2465753424658</v>
      </c>
      <c r="F120" s="2">
        <f t="shared" si="6"/>
        <v>2715.1616438356164</v>
      </c>
      <c r="G120" s="2">
        <f t="shared" si="6"/>
        <v>53.950684931506849</v>
      </c>
      <c r="I120" s="2">
        <f>F120+E120</f>
        <v>3895.4082191780822</v>
      </c>
      <c r="J120" s="2">
        <f>F120+G120+E120</f>
        <v>3949.3589041095888</v>
      </c>
      <c r="K120" s="34">
        <f>J120/$K$118</f>
        <v>12.864361251171299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5E375-057B-4CB5-B152-C00D566A1C2D}">
  <dimension ref="A1:C2"/>
  <sheetViews>
    <sheetView zoomScale="90" zoomScaleNormal="90" workbookViewId="0">
      <selection activeCell="E24" sqref="E24"/>
    </sheetView>
  </sheetViews>
  <sheetFormatPr defaultRowHeight="15" x14ac:dyDescent="0.25"/>
  <sheetData>
    <row r="1" spans="1:3" x14ac:dyDescent="0.25">
      <c r="A1" s="78" t="s">
        <v>299</v>
      </c>
      <c r="B1" s="174">
        <v>1</v>
      </c>
      <c r="C1" s="78" t="s">
        <v>517</v>
      </c>
    </row>
    <row r="2" spans="1:3" x14ac:dyDescent="0.25">
      <c r="A2" s="78"/>
      <c r="B2" s="78"/>
      <c r="C2" s="78"/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7B247-748A-4E33-83BC-A3CE5F1D365C}">
  <dimension ref="A1:E19"/>
  <sheetViews>
    <sheetView workbookViewId="0">
      <selection activeCell="A2" sqref="A2"/>
    </sheetView>
  </sheetViews>
  <sheetFormatPr defaultRowHeight="15" x14ac:dyDescent="0.25"/>
  <cols>
    <col min="2" max="2" width="16" customWidth="1"/>
    <col min="5" max="5" width="13" customWidth="1"/>
  </cols>
  <sheetData>
    <row r="1" spans="1:5" x14ac:dyDescent="0.25">
      <c r="A1" s="78" t="s">
        <v>292</v>
      </c>
      <c r="B1" s="174">
        <v>1</v>
      </c>
      <c r="C1" s="78" t="s">
        <v>518</v>
      </c>
    </row>
    <row r="2" spans="1:5" x14ac:dyDescent="0.25">
      <c r="A2" s="78"/>
      <c r="B2" s="78"/>
      <c r="C2" s="78"/>
    </row>
    <row r="3" spans="1:5" ht="15.75" thickBot="1" x14ac:dyDescent="0.3"/>
    <row r="4" spans="1:5" x14ac:dyDescent="0.25">
      <c r="A4" s="246" t="s">
        <v>30</v>
      </c>
      <c r="B4" s="109" t="s">
        <v>306</v>
      </c>
      <c r="C4" s="246" t="s">
        <v>307</v>
      </c>
      <c r="D4" s="246"/>
      <c r="E4" s="246" t="s">
        <v>308</v>
      </c>
    </row>
    <row r="5" spans="1:5" x14ac:dyDescent="0.25">
      <c r="A5" s="247"/>
      <c r="B5" s="110" t="s">
        <v>309</v>
      </c>
      <c r="C5" s="110" t="s">
        <v>310</v>
      </c>
      <c r="D5" s="110" t="s">
        <v>311</v>
      </c>
      <c r="E5" s="247"/>
    </row>
    <row r="6" spans="1:5" x14ac:dyDescent="0.25">
      <c r="A6" s="95">
        <v>2012</v>
      </c>
      <c r="B6" s="86">
        <f>EmbDesemBUS!H14</f>
        <v>10447699</v>
      </c>
      <c r="C6" s="86">
        <f t="shared" ref="C6:C7" si="0">B6/12</f>
        <v>870641.58333333337</v>
      </c>
      <c r="D6" s="86">
        <f t="shared" ref="D6:D7" si="1">B6/365</f>
        <v>28623.832876712328</v>
      </c>
      <c r="E6" s="98"/>
    </row>
    <row r="7" spans="1:5" x14ac:dyDescent="0.25">
      <c r="A7" s="96">
        <v>2013</v>
      </c>
      <c r="B7" s="91">
        <f>EmbDesemBUS!H26</f>
        <v>10127310</v>
      </c>
      <c r="C7" s="91">
        <f t="shared" si="0"/>
        <v>843942.5</v>
      </c>
      <c r="D7" s="91">
        <f t="shared" si="1"/>
        <v>27746.054794520547</v>
      </c>
      <c r="E7" s="97">
        <f>(B7-B6)/B6</f>
        <v>-3.0665986835953066E-2</v>
      </c>
    </row>
    <row r="8" spans="1:5" x14ac:dyDescent="0.25">
      <c r="A8" s="95">
        <v>2014</v>
      </c>
      <c r="B8" s="86">
        <f>EmbDesemBUS!H38</f>
        <v>9939449</v>
      </c>
      <c r="C8" s="86">
        <f t="shared" ref="C8" si="2">B8/12</f>
        <v>828287.41666666663</v>
      </c>
      <c r="D8" s="86">
        <f t="shared" ref="D8" si="3">B8/365</f>
        <v>27231.36712328767</v>
      </c>
      <c r="E8" s="114">
        <f t="shared" ref="E8:E14" si="4">(B8-B7)/B7</f>
        <v>-1.8549940704886095E-2</v>
      </c>
    </row>
    <row r="9" spans="1:5" x14ac:dyDescent="0.25">
      <c r="A9" s="96">
        <v>2015</v>
      </c>
      <c r="B9" s="91">
        <f>EmbDesemBUS!H50</f>
        <v>9307236</v>
      </c>
      <c r="C9" s="91">
        <f t="shared" ref="C9:C14" si="5">B9/12</f>
        <v>775603</v>
      </c>
      <c r="D9" s="91">
        <f t="shared" ref="D9:D14" si="6">B9/365</f>
        <v>25499.276712328767</v>
      </c>
      <c r="E9" s="97">
        <f t="shared" si="4"/>
        <v>-6.3606443375281665E-2</v>
      </c>
    </row>
    <row r="10" spans="1:5" x14ac:dyDescent="0.25">
      <c r="A10" s="95">
        <v>2016</v>
      </c>
      <c r="B10" s="86">
        <f>EmbDesemBUS!H62</f>
        <v>8267146</v>
      </c>
      <c r="C10" s="86">
        <f t="shared" si="5"/>
        <v>688928.83333333337</v>
      </c>
      <c r="D10" s="86">
        <f t="shared" si="6"/>
        <v>22649.715068493151</v>
      </c>
      <c r="E10" s="114">
        <f t="shared" si="4"/>
        <v>-0.11175068516582151</v>
      </c>
    </row>
    <row r="11" spans="1:5" x14ac:dyDescent="0.25">
      <c r="A11" s="96">
        <v>2017</v>
      </c>
      <c r="B11" s="91">
        <f>EmbDesemBUS!H74</f>
        <v>8027037</v>
      </c>
      <c r="C11" s="91">
        <f t="shared" si="5"/>
        <v>668919.75</v>
      </c>
      <c r="D11" s="91">
        <f t="shared" si="6"/>
        <v>21991.882191780824</v>
      </c>
      <c r="E11" s="97">
        <f t="shared" si="4"/>
        <v>-2.9043759478785059E-2</v>
      </c>
    </row>
    <row r="12" spans="1:5" x14ac:dyDescent="0.25">
      <c r="A12" s="95">
        <v>2018</v>
      </c>
      <c r="B12" s="86">
        <f>EmbDesemBUS!H86</f>
        <v>8372758</v>
      </c>
      <c r="C12" s="86">
        <f t="shared" si="5"/>
        <v>697729.83333333337</v>
      </c>
      <c r="D12" s="86">
        <f t="shared" si="6"/>
        <v>22939.063013698629</v>
      </c>
      <c r="E12" s="98">
        <f t="shared" si="4"/>
        <v>4.3069566017946599E-2</v>
      </c>
    </row>
    <row r="13" spans="1:5" x14ac:dyDescent="0.25">
      <c r="A13" s="96">
        <v>2019</v>
      </c>
      <c r="B13" s="91">
        <f>EmbDesemBUS!H98</f>
        <v>8619332</v>
      </c>
      <c r="C13" s="91">
        <f t="shared" si="5"/>
        <v>718277.66666666663</v>
      </c>
      <c r="D13" s="91">
        <f t="shared" si="6"/>
        <v>23614.608219178081</v>
      </c>
      <c r="E13" s="115">
        <f t="shared" si="4"/>
        <v>2.9449555331707903E-2</v>
      </c>
    </row>
    <row r="14" spans="1:5" ht="15.75" thickBot="1" x14ac:dyDescent="0.3">
      <c r="A14" s="165">
        <v>2020</v>
      </c>
      <c r="B14" s="166">
        <f>EmbDesemBUS!H110</f>
        <v>3990663</v>
      </c>
      <c r="C14" s="166">
        <f t="shared" si="5"/>
        <v>332555.25</v>
      </c>
      <c r="D14" s="166">
        <f t="shared" si="6"/>
        <v>10933.323287671234</v>
      </c>
      <c r="E14" s="102">
        <f t="shared" si="4"/>
        <v>-0.53701017665870165</v>
      </c>
    </row>
    <row r="16" spans="1:5" x14ac:dyDescent="0.25">
      <c r="A16" s="156" t="s">
        <v>366</v>
      </c>
    </row>
    <row r="17" spans="1:1" x14ac:dyDescent="0.25">
      <c r="A17" s="156" t="s">
        <v>368</v>
      </c>
    </row>
    <row r="18" spans="1:1" x14ac:dyDescent="0.25">
      <c r="A18" s="156" t="s">
        <v>367</v>
      </c>
    </row>
    <row r="19" spans="1:1" x14ac:dyDescent="0.25">
      <c r="A19" s="156" t="s">
        <v>369</v>
      </c>
    </row>
  </sheetData>
  <mergeCells count="3">
    <mergeCell ref="A4:A5"/>
    <mergeCell ref="C4:D4"/>
    <mergeCell ref="E4:E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6BD68-C1E9-4C05-BA9A-B53B97D1C1E3}">
  <dimension ref="A1:E16"/>
  <sheetViews>
    <sheetView workbookViewId="0">
      <selection activeCell="A2" sqref="A2"/>
    </sheetView>
  </sheetViews>
  <sheetFormatPr defaultRowHeight="15" x14ac:dyDescent="0.25"/>
  <cols>
    <col min="2" max="2" width="16" customWidth="1"/>
    <col min="5" max="5" width="13" customWidth="1"/>
  </cols>
  <sheetData>
    <row r="1" spans="1:5" x14ac:dyDescent="0.25">
      <c r="A1" s="78" t="s">
        <v>292</v>
      </c>
      <c r="B1" s="174">
        <v>2</v>
      </c>
      <c r="C1" s="78" t="s">
        <v>519</v>
      </c>
    </row>
    <row r="3" spans="1:5" ht="15.75" thickBot="1" x14ac:dyDescent="0.3"/>
    <row r="4" spans="1:5" x14ac:dyDescent="0.25">
      <c r="A4" s="246" t="s">
        <v>30</v>
      </c>
      <c r="B4" s="94" t="s">
        <v>306</v>
      </c>
      <c r="C4" s="246" t="s">
        <v>307</v>
      </c>
      <c r="D4" s="246"/>
      <c r="E4" s="246" t="s">
        <v>308</v>
      </c>
    </row>
    <row r="5" spans="1:5" x14ac:dyDescent="0.25">
      <c r="A5" s="247"/>
      <c r="B5" s="79" t="s">
        <v>309</v>
      </c>
      <c r="C5" s="79" t="s">
        <v>310</v>
      </c>
      <c r="D5" s="79" t="s">
        <v>311</v>
      </c>
      <c r="E5" s="247"/>
    </row>
    <row r="6" spans="1:5" x14ac:dyDescent="0.25">
      <c r="A6" s="95">
        <v>2015</v>
      </c>
      <c r="B6" s="86">
        <f>EmbDesemBUS!S50</f>
        <v>8435789</v>
      </c>
      <c r="C6" s="86">
        <f t="shared" ref="C6:C11" si="0">B6/12</f>
        <v>702982.41666666663</v>
      </c>
      <c r="D6" s="86">
        <f t="shared" ref="D6:D11" si="1">B6/365</f>
        <v>23111.750684931507</v>
      </c>
      <c r="E6" s="81"/>
    </row>
    <row r="7" spans="1:5" x14ac:dyDescent="0.25">
      <c r="A7" s="96">
        <v>2016</v>
      </c>
      <c r="B7" s="91">
        <f>EmbDesemBUS!S62</f>
        <v>7606555</v>
      </c>
      <c r="C7" s="91">
        <f t="shared" si="0"/>
        <v>633879.58333333337</v>
      </c>
      <c r="D7" s="91">
        <f t="shared" si="1"/>
        <v>20839.876712328769</v>
      </c>
      <c r="E7" s="97">
        <f>(B7-B6)/B6</f>
        <v>-9.8299518871323127E-2</v>
      </c>
    </row>
    <row r="8" spans="1:5" x14ac:dyDescent="0.25">
      <c r="A8" s="95">
        <v>2017</v>
      </c>
      <c r="B8" s="86">
        <f>EmbDesemBUS!S74</f>
        <v>7775758</v>
      </c>
      <c r="C8" s="86">
        <f t="shared" si="0"/>
        <v>647979.83333333337</v>
      </c>
      <c r="D8" s="86">
        <f t="shared" si="1"/>
        <v>21303.446575342467</v>
      </c>
      <c r="E8" s="98">
        <f>(B8-B7)/B7</f>
        <v>2.2244366865157749E-2</v>
      </c>
    </row>
    <row r="9" spans="1:5" x14ac:dyDescent="0.25">
      <c r="A9" s="96">
        <v>2018</v>
      </c>
      <c r="B9" s="91">
        <f>EmbDesemBUS!S86</f>
        <v>8372758</v>
      </c>
      <c r="C9" s="91">
        <f t="shared" si="0"/>
        <v>697729.83333333337</v>
      </c>
      <c r="D9" s="91">
        <f t="shared" si="1"/>
        <v>22939.063013698629</v>
      </c>
      <c r="E9" s="99">
        <f>(B9-B8)/B8</f>
        <v>7.6777080768202915E-2</v>
      </c>
    </row>
    <row r="10" spans="1:5" x14ac:dyDescent="0.25">
      <c r="A10" s="95">
        <v>2019</v>
      </c>
      <c r="B10" s="86">
        <f>EmbDesemBUS!S98</f>
        <v>8619332</v>
      </c>
      <c r="C10" s="86">
        <f t="shared" si="0"/>
        <v>718277.66666666663</v>
      </c>
      <c r="D10" s="86">
        <f t="shared" si="1"/>
        <v>23614.608219178081</v>
      </c>
      <c r="E10" s="98">
        <f>(B10-B9)/B9</f>
        <v>2.9449555331707903E-2</v>
      </c>
    </row>
    <row r="11" spans="1:5" ht="15.75" thickBot="1" x14ac:dyDescent="0.3">
      <c r="A11" s="100">
        <v>2020</v>
      </c>
      <c r="B11" s="101">
        <f>EmbDesemBUS!S110</f>
        <v>3990663</v>
      </c>
      <c r="C11" s="101">
        <f t="shared" si="0"/>
        <v>332555.25</v>
      </c>
      <c r="D11" s="101">
        <f t="shared" si="1"/>
        <v>10933.323287671234</v>
      </c>
      <c r="E11" s="102">
        <f>(B11-B10)/B10</f>
        <v>-0.53701017665870165</v>
      </c>
    </row>
    <row r="13" spans="1:5" x14ac:dyDescent="0.25">
      <c r="A13" s="156" t="s">
        <v>366</v>
      </c>
    </row>
    <row r="14" spans="1:5" x14ac:dyDescent="0.25">
      <c r="A14" s="156" t="s">
        <v>368</v>
      </c>
    </row>
    <row r="15" spans="1:5" x14ac:dyDescent="0.25">
      <c r="A15" s="156" t="s">
        <v>367</v>
      </c>
    </row>
    <row r="16" spans="1:5" x14ac:dyDescent="0.25">
      <c r="A16" s="156" t="s">
        <v>369</v>
      </c>
    </row>
  </sheetData>
  <mergeCells count="3">
    <mergeCell ref="A4:A5"/>
    <mergeCell ref="C4:D4"/>
    <mergeCell ref="E4:E5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ACA58-353E-4551-90CF-750AD4D1C4D5}">
  <dimension ref="A1:C1"/>
  <sheetViews>
    <sheetView zoomScale="90" zoomScaleNormal="90" workbookViewId="0">
      <selection activeCell="A2" sqref="A2"/>
    </sheetView>
  </sheetViews>
  <sheetFormatPr defaultRowHeight="15" x14ac:dyDescent="0.25"/>
  <sheetData>
    <row r="1" spans="1:3" x14ac:dyDescent="0.25">
      <c r="A1" s="78" t="s">
        <v>299</v>
      </c>
      <c r="B1" s="174">
        <v>2</v>
      </c>
      <c r="C1" s="78" t="s">
        <v>517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697C9-FA60-46AF-A673-3679005125AE}">
  <dimension ref="A1:E16"/>
  <sheetViews>
    <sheetView zoomScaleNormal="100" workbookViewId="0">
      <selection activeCell="A2" sqref="A2"/>
    </sheetView>
  </sheetViews>
  <sheetFormatPr defaultRowHeight="15" x14ac:dyDescent="0.25"/>
  <cols>
    <col min="2" max="2" width="16" customWidth="1"/>
    <col min="5" max="5" width="13" customWidth="1"/>
    <col min="6" max="6" width="12" bestFit="1" customWidth="1"/>
  </cols>
  <sheetData>
    <row r="1" spans="1:5" x14ac:dyDescent="0.25">
      <c r="A1" s="78" t="s">
        <v>292</v>
      </c>
      <c r="B1" s="174">
        <v>3</v>
      </c>
      <c r="C1" s="209" t="s">
        <v>560</v>
      </c>
    </row>
    <row r="4" spans="1:5" ht="15.75" thickBot="1" x14ac:dyDescent="0.3">
      <c r="A4" s="248" t="s">
        <v>2</v>
      </c>
      <c r="B4" s="248"/>
      <c r="C4" s="248"/>
      <c r="D4" s="248"/>
      <c r="E4" s="248"/>
    </row>
    <row r="5" spans="1:5" ht="26.25" customHeight="1" thickBot="1" x14ac:dyDescent="0.3">
      <c r="A5" s="251" t="s">
        <v>30</v>
      </c>
      <c r="B5" s="253" t="s">
        <v>294</v>
      </c>
      <c r="C5" s="249" t="s">
        <v>361</v>
      </c>
      <c r="D5" s="250"/>
      <c r="E5" s="255" t="s">
        <v>362</v>
      </c>
    </row>
    <row r="6" spans="1:5" ht="15.75" thickBot="1" x14ac:dyDescent="0.3">
      <c r="A6" s="252"/>
      <c r="B6" s="254"/>
      <c r="C6" s="154" t="s">
        <v>363</v>
      </c>
      <c r="D6" s="153" t="s">
        <v>364</v>
      </c>
      <c r="E6" s="256"/>
    </row>
    <row r="7" spans="1:5" x14ac:dyDescent="0.25">
      <c r="A7" s="95" t="s">
        <v>365</v>
      </c>
      <c r="B7" s="86">
        <f>EmbDesemBUS!AN$50</f>
        <v>4359997</v>
      </c>
      <c r="C7" s="86">
        <f>EmbDesemBUS!AO$50</f>
        <v>363333.08333333331</v>
      </c>
      <c r="D7" s="86">
        <f>EmbDesemBUS!AP$50</f>
        <v>11945.197260273973</v>
      </c>
      <c r="E7" s="164">
        <f>EmbDesemBUS!AQ$50</f>
        <v>0.51684519373350846</v>
      </c>
    </row>
    <row r="8" spans="1:5" x14ac:dyDescent="0.25">
      <c r="A8" s="96">
        <v>2016</v>
      </c>
      <c r="B8" s="91">
        <f>EmbDesemBUS!AN$62</f>
        <v>3953193</v>
      </c>
      <c r="C8" s="91">
        <f>EmbDesemBUS!AO$62</f>
        <v>329432.75</v>
      </c>
      <c r="D8" s="91">
        <f>EmbDesemBUS!AP$62</f>
        <v>10830.665753424657</v>
      </c>
      <c r="E8" s="157">
        <f>EmbDesemBUS!AQ$62</f>
        <v>0.51970872490897657</v>
      </c>
    </row>
    <row r="9" spans="1:5" x14ac:dyDescent="0.25">
      <c r="A9" s="95">
        <v>2017</v>
      </c>
      <c r="B9" s="86">
        <f>EmbDesemBUS!AN$74</f>
        <v>4028351</v>
      </c>
      <c r="C9" s="86">
        <f>EmbDesemBUS!AO$74</f>
        <v>335695.91666666669</v>
      </c>
      <c r="D9" s="86">
        <f>EmbDesemBUS!AP$74</f>
        <v>11036.578082191782</v>
      </c>
      <c r="E9" s="164">
        <f>EmbDesemBUS!AQ$74</f>
        <v>0.51806537703462474</v>
      </c>
    </row>
    <row r="10" spans="1:5" x14ac:dyDescent="0.25">
      <c r="A10" s="96">
        <v>2018</v>
      </c>
      <c r="B10" s="91">
        <f>EmbDesemBUS!AN$86</f>
        <v>4337415</v>
      </c>
      <c r="C10" s="91">
        <f>EmbDesemBUS!AO$86</f>
        <v>361451.25</v>
      </c>
      <c r="D10" s="91">
        <f>EmbDesemBUS!AP$86</f>
        <v>11883.328767123288</v>
      </c>
      <c r="E10" s="157">
        <f>EmbDesemBUS!AQ$86</f>
        <v>0.51803897831515011</v>
      </c>
    </row>
    <row r="11" spans="1:5" x14ac:dyDescent="0.25">
      <c r="A11" s="95">
        <v>2019</v>
      </c>
      <c r="B11" s="86">
        <f>EmbDesemBUS!AN$98</f>
        <v>4462676</v>
      </c>
      <c r="C11" s="86">
        <f>EmbDesemBUS!AO$98</f>
        <v>371889.66666666669</v>
      </c>
      <c r="D11" s="86">
        <f>EmbDesemBUS!AP$98</f>
        <v>12226.509589041096</v>
      </c>
      <c r="E11" s="164">
        <f>EmbDesemBUS!AQ$98</f>
        <v>0.51775195572000243</v>
      </c>
    </row>
    <row r="12" spans="1:5" x14ac:dyDescent="0.25">
      <c r="A12" s="96">
        <v>2020</v>
      </c>
      <c r="B12" s="91">
        <f>EmbDesemBUS!AN$110</f>
        <v>2005314</v>
      </c>
      <c r="C12" s="91">
        <f>EmbDesemBUS!AO$110</f>
        <v>167109.5</v>
      </c>
      <c r="D12" s="91">
        <f>EmbDesemBUS!AP$110</f>
        <v>5494.0109589041094</v>
      </c>
      <c r="E12" s="157">
        <f>EmbDesemBUS!AQ$110</f>
        <v>0.50250146404244111</v>
      </c>
    </row>
    <row r="13" spans="1:5" x14ac:dyDescent="0.25">
      <c r="A13" s="156" t="s">
        <v>366</v>
      </c>
    </row>
    <row r="14" spans="1:5" x14ac:dyDescent="0.25">
      <c r="A14" s="156" t="s">
        <v>368</v>
      </c>
    </row>
    <row r="15" spans="1:5" x14ac:dyDescent="0.25">
      <c r="A15" s="156" t="s">
        <v>367</v>
      </c>
    </row>
    <row r="16" spans="1:5" x14ac:dyDescent="0.25">
      <c r="A16" s="156" t="s">
        <v>369</v>
      </c>
    </row>
  </sheetData>
  <mergeCells count="5">
    <mergeCell ref="A4:E4"/>
    <mergeCell ref="C5:D5"/>
    <mergeCell ref="A5:A6"/>
    <mergeCell ref="B5:B6"/>
    <mergeCell ref="E5:E6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32FF3-5FD0-4BB1-ADDF-85C039B8C5D6}">
  <dimension ref="A1:G16"/>
  <sheetViews>
    <sheetView zoomScaleNormal="100" workbookViewId="0">
      <selection activeCell="A2" sqref="A2"/>
    </sheetView>
  </sheetViews>
  <sheetFormatPr defaultRowHeight="15" x14ac:dyDescent="0.25"/>
  <cols>
    <col min="2" max="2" width="16" customWidth="1"/>
    <col min="5" max="5" width="13" customWidth="1"/>
    <col min="6" max="6" width="12" bestFit="1" customWidth="1"/>
  </cols>
  <sheetData>
    <row r="1" spans="1:7" x14ac:dyDescent="0.25">
      <c r="A1" s="78" t="s">
        <v>292</v>
      </c>
      <c r="B1" s="219">
        <v>4</v>
      </c>
      <c r="C1" s="209" t="s">
        <v>561</v>
      </c>
    </row>
    <row r="4" spans="1:7" ht="15.75" thickBot="1" x14ac:dyDescent="0.3">
      <c r="A4" s="248" t="s">
        <v>4</v>
      </c>
      <c r="B4" s="248"/>
      <c r="C4" s="248"/>
      <c r="D4" s="248"/>
      <c r="E4" s="248"/>
    </row>
    <row r="5" spans="1:7" ht="26.25" customHeight="1" thickBot="1" x14ac:dyDescent="0.3">
      <c r="A5" s="251" t="s">
        <v>30</v>
      </c>
      <c r="B5" s="253" t="s">
        <v>294</v>
      </c>
      <c r="C5" s="258" t="s">
        <v>361</v>
      </c>
      <c r="D5" s="250"/>
      <c r="E5" s="255" t="s">
        <v>362</v>
      </c>
    </row>
    <row r="6" spans="1:7" ht="15.75" thickBot="1" x14ac:dyDescent="0.3">
      <c r="A6" s="257"/>
      <c r="B6" s="254"/>
      <c r="C6" s="220" t="s">
        <v>363</v>
      </c>
      <c r="D6" s="221" t="s">
        <v>364</v>
      </c>
      <c r="E6" s="256"/>
    </row>
    <row r="7" spans="1:7" x14ac:dyDescent="0.25">
      <c r="A7" s="95">
        <v>2015</v>
      </c>
      <c r="B7" s="86">
        <f>EmbDesemBUS!AS$50</f>
        <v>4075792</v>
      </c>
      <c r="C7" s="86">
        <f>EmbDesemBUS!AT$50</f>
        <v>339649.33333333331</v>
      </c>
      <c r="D7" s="86">
        <f>EmbDesemBUS!AU$50</f>
        <v>11166.553424657533</v>
      </c>
      <c r="E7" s="164">
        <f>EmbDesemBUS!AV$50</f>
        <v>0.48315480626649149</v>
      </c>
    </row>
    <row r="8" spans="1:7" x14ac:dyDescent="0.25">
      <c r="A8" s="96">
        <v>2016</v>
      </c>
      <c r="B8" s="91">
        <f>EmbDesemBUS!AS$62</f>
        <v>3653362</v>
      </c>
      <c r="C8" s="91">
        <f>EmbDesemBUS!AT$62</f>
        <v>304446.83333333331</v>
      </c>
      <c r="D8" s="91">
        <f>EmbDesemBUS!AU$62</f>
        <v>10009.21095890411</v>
      </c>
      <c r="E8" s="157">
        <f>EmbDesemBUS!AV$62</f>
        <v>0.48029127509102348</v>
      </c>
    </row>
    <row r="9" spans="1:7" x14ac:dyDescent="0.25">
      <c r="A9" s="95">
        <v>2017</v>
      </c>
      <c r="B9" s="86">
        <f>EmbDesemBUS!AS$74</f>
        <v>3747407</v>
      </c>
      <c r="C9" s="86">
        <f>EmbDesemBUS!AT$74</f>
        <v>312283.91666666669</v>
      </c>
      <c r="D9" s="86">
        <f>EmbDesemBUS!AU$74</f>
        <v>10266.868493150685</v>
      </c>
      <c r="E9" s="164">
        <f>EmbDesemBUS!AV$74</f>
        <v>0.4819346229653752</v>
      </c>
    </row>
    <row r="10" spans="1:7" x14ac:dyDescent="0.25">
      <c r="A10" s="96">
        <v>2018</v>
      </c>
      <c r="B10" s="91">
        <f>EmbDesemBUS!AS$86</f>
        <v>4035343</v>
      </c>
      <c r="C10" s="91">
        <f>EmbDesemBUS!AT$86</f>
        <v>336278.58333333331</v>
      </c>
      <c r="D10" s="91">
        <f>EmbDesemBUS!AU$86</f>
        <v>11055.734246575343</v>
      </c>
      <c r="E10" s="157">
        <f>EmbDesemBUS!AV$86</f>
        <v>0.48196102168484983</v>
      </c>
    </row>
    <row r="11" spans="1:7" x14ac:dyDescent="0.25">
      <c r="A11" s="95">
        <v>2019</v>
      </c>
      <c r="B11" s="86">
        <f>EmbDesemBUS!AS$98</f>
        <v>4156656</v>
      </c>
      <c r="C11" s="86">
        <f>EmbDesemBUS!AT$98</f>
        <v>346388</v>
      </c>
      <c r="D11" s="86">
        <f>EmbDesemBUS!AU$98</f>
        <v>11388.098630136987</v>
      </c>
      <c r="E11" s="164">
        <f>EmbDesemBUS!AV$98</f>
        <v>0.48224804427999757</v>
      </c>
      <c r="G11" s="8"/>
    </row>
    <row r="12" spans="1:7" ht="15.75" thickBot="1" x14ac:dyDescent="0.3">
      <c r="A12" s="100">
        <v>2020</v>
      </c>
      <c r="B12" s="101">
        <f>EmbDesemBUS!AS$110</f>
        <v>1985349</v>
      </c>
      <c r="C12" s="101">
        <f>EmbDesemBUS!AT$110</f>
        <v>165445.75</v>
      </c>
      <c r="D12" s="101">
        <f>EmbDesemBUS!AU$110</f>
        <v>5439.3123287671233</v>
      </c>
      <c r="E12" s="157">
        <f>EmbDesemBUS!AV$110</f>
        <v>0.49749853595755894</v>
      </c>
    </row>
    <row r="13" spans="1:7" x14ac:dyDescent="0.25">
      <c r="A13" s="156" t="s">
        <v>366</v>
      </c>
    </row>
    <row r="14" spans="1:7" x14ac:dyDescent="0.25">
      <c r="A14" s="156" t="s">
        <v>368</v>
      </c>
    </row>
    <row r="15" spans="1:7" x14ac:dyDescent="0.25">
      <c r="A15" s="156" t="s">
        <v>367</v>
      </c>
    </row>
    <row r="16" spans="1:7" x14ac:dyDescent="0.25">
      <c r="A16" s="156" t="s">
        <v>369</v>
      </c>
    </row>
  </sheetData>
  <mergeCells count="5">
    <mergeCell ref="A5:A6"/>
    <mergeCell ref="B5:B6"/>
    <mergeCell ref="C5:D5"/>
    <mergeCell ref="E5:E6"/>
    <mergeCell ref="A4:E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F5CAC-9096-436C-836D-EFBD4EE65ED5}">
  <dimension ref="A1:C1"/>
  <sheetViews>
    <sheetView zoomScale="90" zoomScaleNormal="90" workbookViewId="0"/>
  </sheetViews>
  <sheetFormatPr defaultRowHeight="15" x14ac:dyDescent="0.25"/>
  <sheetData>
    <row r="1" spans="1:3" x14ac:dyDescent="0.25">
      <c r="A1" s="78" t="s">
        <v>299</v>
      </c>
      <c r="B1" s="174">
        <v>3</v>
      </c>
      <c r="C1" s="78" t="s">
        <v>522</v>
      </c>
    </row>
  </sheetData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E5327-46FC-4210-93DF-DEB1F446F88A}">
  <dimension ref="A1:C19"/>
  <sheetViews>
    <sheetView workbookViewId="0">
      <selection activeCell="A2" sqref="A2"/>
    </sheetView>
  </sheetViews>
  <sheetFormatPr defaultRowHeight="15" x14ac:dyDescent="0.25"/>
  <cols>
    <col min="2" max="2" width="18.42578125" customWidth="1"/>
  </cols>
  <sheetData>
    <row r="1" spans="1:3" x14ac:dyDescent="0.25">
      <c r="A1" s="78" t="s">
        <v>292</v>
      </c>
      <c r="B1" s="174">
        <v>5</v>
      </c>
      <c r="C1" s="209" t="s">
        <v>523</v>
      </c>
    </row>
    <row r="3" spans="1:3" ht="15.75" thickBot="1" x14ac:dyDescent="0.3"/>
    <row r="4" spans="1:3" x14ac:dyDescent="0.25">
      <c r="A4" s="251" t="s">
        <v>31</v>
      </c>
      <c r="B4" s="255" t="s">
        <v>370</v>
      </c>
      <c r="C4" s="159"/>
    </row>
    <row r="5" spans="1:3" x14ac:dyDescent="0.25">
      <c r="A5" s="252"/>
      <c r="B5" s="256"/>
      <c r="C5" s="159"/>
    </row>
    <row r="6" spans="1:3" x14ac:dyDescent="0.25">
      <c r="A6" s="160" t="s">
        <v>371</v>
      </c>
      <c r="B6" s="98">
        <f>EmbDesemBUS!W113</f>
        <v>9.796960851659961E-2</v>
      </c>
      <c r="C6" s="167"/>
    </row>
    <row r="7" spans="1:3" x14ac:dyDescent="0.25">
      <c r="A7" s="161" t="s">
        <v>372</v>
      </c>
      <c r="B7" s="103">
        <f>EmbDesemBUS!W114</f>
        <v>7.7506116582472279E-2</v>
      </c>
      <c r="C7" s="167"/>
    </row>
    <row r="8" spans="1:3" x14ac:dyDescent="0.25">
      <c r="A8" s="160" t="s">
        <v>373</v>
      </c>
      <c r="B8" s="98">
        <f>EmbDesemBUS!W115</f>
        <v>7.7207013487431309E-2</v>
      </c>
      <c r="C8" s="159"/>
    </row>
    <row r="9" spans="1:3" x14ac:dyDescent="0.25">
      <c r="A9" s="161" t="s">
        <v>374</v>
      </c>
      <c r="B9" s="103">
        <f>EmbDesemBUS!W116</f>
        <v>8.0115237593755578E-2</v>
      </c>
      <c r="C9" s="159"/>
    </row>
    <row r="10" spans="1:3" x14ac:dyDescent="0.25">
      <c r="A10" s="160" t="s">
        <v>375</v>
      </c>
      <c r="B10" s="98">
        <f>EmbDesemBUS!W117</f>
        <v>7.6974940116625895E-2</v>
      </c>
      <c r="C10" s="159"/>
    </row>
    <row r="11" spans="1:3" ht="15.75" thickBot="1" x14ac:dyDescent="0.3">
      <c r="A11" s="161" t="s">
        <v>376</v>
      </c>
      <c r="B11" s="103">
        <f>EmbDesemBUS!W118</f>
        <v>7.4259263373448986E-2</v>
      </c>
      <c r="C11" s="159"/>
    </row>
    <row r="12" spans="1:3" x14ac:dyDescent="0.25">
      <c r="A12" s="162" t="s">
        <v>377</v>
      </c>
      <c r="B12" s="98">
        <f>EmbDesemBUS!W119</f>
        <v>9.5196360852424347E-2</v>
      </c>
      <c r="C12" s="159"/>
    </row>
    <row r="13" spans="1:3" x14ac:dyDescent="0.25">
      <c r="A13" s="161" t="s">
        <v>378</v>
      </c>
      <c r="B13" s="103">
        <f>EmbDesemBUS!W120</f>
        <v>7.9390456349544503E-2</v>
      </c>
      <c r="C13" s="159"/>
    </row>
    <row r="14" spans="1:3" x14ac:dyDescent="0.25">
      <c r="A14" s="160" t="s">
        <v>379</v>
      </c>
      <c r="B14" s="98">
        <f>EmbDesemBUS!W121</f>
        <v>7.913335919755736E-2</v>
      </c>
      <c r="C14" s="159"/>
    </row>
    <row r="15" spans="1:3" x14ac:dyDescent="0.25">
      <c r="A15" s="161" t="s">
        <v>380</v>
      </c>
      <c r="B15" s="103">
        <f>EmbDesemBUS!W122</f>
        <v>8.5420510015550316E-2</v>
      </c>
      <c r="C15" s="159"/>
    </row>
    <row r="16" spans="1:3" x14ac:dyDescent="0.25">
      <c r="A16" s="160" t="s">
        <v>381</v>
      </c>
      <c r="B16" s="98">
        <f>EmbDesemBUS!W123</f>
        <v>7.6756711113370124E-2</v>
      </c>
      <c r="C16" s="159"/>
    </row>
    <row r="17" spans="1:3" ht="15.75" thickBot="1" x14ac:dyDescent="0.3">
      <c r="A17" s="163" t="s">
        <v>382</v>
      </c>
      <c r="B17" s="103">
        <f>EmbDesemBUS!W124</f>
        <v>0.10007042280121969</v>
      </c>
      <c r="C17" s="159"/>
    </row>
    <row r="18" spans="1:3" x14ac:dyDescent="0.25">
      <c r="B18" s="158"/>
    </row>
    <row r="19" spans="1:3" x14ac:dyDescent="0.25">
      <c r="B19" s="8"/>
    </row>
  </sheetData>
  <mergeCells count="2">
    <mergeCell ref="A4:A5"/>
    <mergeCell ref="B4:B5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FD97F-94A1-451E-B197-042BC3FFB030}">
  <dimension ref="A1:F13"/>
  <sheetViews>
    <sheetView workbookViewId="0">
      <selection activeCell="A2" sqref="A2"/>
    </sheetView>
  </sheetViews>
  <sheetFormatPr defaultRowHeight="15" x14ac:dyDescent="0.25"/>
  <cols>
    <col min="1" max="1" width="18" customWidth="1"/>
    <col min="2" max="2" width="11.7109375" bestFit="1" customWidth="1"/>
    <col min="3" max="3" width="16.28515625" customWidth="1"/>
    <col min="4" max="4" width="16.140625" customWidth="1"/>
    <col min="6" max="6" width="11.7109375" customWidth="1"/>
  </cols>
  <sheetData>
    <row r="1" spans="1:6" x14ac:dyDescent="0.25">
      <c r="A1" s="78" t="s">
        <v>383</v>
      </c>
      <c r="B1" s="174">
        <v>6</v>
      </c>
      <c r="C1" s="78" t="s">
        <v>524</v>
      </c>
    </row>
    <row r="2" spans="1:6" x14ac:dyDescent="0.25">
      <c r="A2" s="78"/>
      <c r="B2" s="78"/>
      <c r="C2" s="78"/>
    </row>
    <row r="4" spans="1:6" ht="25.5" x14ac:dyDescent="0.25">
      <c r="A4" s="205" t="s">
        <v>30</v>
      </c>
      <c r="B4" s="205" t="s">
        <v>384</v>
      </c>
      <c r="C4" s="205" t="s">
        <v>385</v>
      </c>
      <c r="D4" s="205" t="s">
        <v>386</v>
      </c>
      <c r="E4" s="205" t="s">
        <v>387</v>
      </c>
      <c r="F4" s="205" t="s">
        <v>388</v>
      </c>
    </row>
    <row r="5" spans="1:6" x14ac:dyDescent="0.25">
      <c r="A5" s="95">
        <v>2019</v>
      </c>
      <c r="B5" s="86">
        <f>Estacionamento!B112</f>
        <v>665336</v>
      </c>
      <c r="C5" s="86">
        <f>Estacionamento!F112</f>
        <v>593633</v>
      </c>
      <c r="D5" s="86">
        <f>Estacionamento!D112</f>
        <v>10797</v>
      </c>
      <c r="E5" s="86">
        <f>Estacionamento!G112</f>
        <v>604430</v>
      </c>
      <c r="F5" s="81"/>
    </row>
    <row r="6" spans="1:6" x14ac:dyDescent="0.25">
      <c r="A6" s="96">
        <v>2020</v>
      </c>
      <c r="B6" s="87">
        <f>Estacionamento!B113</f>
        <v>398287</v>
      </c>
      <c r="C6" s="87">
        <f>Estacionamento!F113</f>
        <v>371649</v>
      </c>
      <c r="D6" s="87">
        <f>Estacionamento!D113</f>
        <v>10298</v>
      </c>
      <c r="E6" s="87">
        <f>Estacionamento!G113</f>
        <v>381947</v>
      </c>
      <c r="F6" s="169"/>
    </row>
    <row r="7" spans="1:6" ht="15.75" thickBot="1" x14ac:dyDescent="0.3">
      <c r="A7" s="204" t="s">
        <v>389</v>
      </c>
      <c r="B7" s="170">
        <f>Estacionamento!B114</f>
        <v>-0.40137464378900289</v>
      </c>
      <c r="C7" s="170">
        <f>Estacionamento!F114</f>
        <v>-0.37394147562551272</v>
      </c>
      <c r="D7" s="170">
        <f>Estacionamento!D114</f>
        <v>-4.6216541631934782E-2</v>
      </c>
      <c r="E7" s="170">
        <f>Estacionamento!G114</f>
        <v>-0.36808728885065267</v>
      </c>
      <c r="F7" s="171"/>
    </row>
    <row r="8" spans="1:6" x14ac:dyDescent="0.25">
      <c r="A8" s="96" t="s">
        <v>390</v>
      </c>
      <c r="B8" s="91">
        <f>Estacionamento!B116</f>
        <v>55444.666666666664</v>
      </c>
      <c r="C8" s="91">
        <f>Estacionamento!F116</f>
        <v>49469.416666666664</v>
      </c>
      <c r="D8" s="91">
        <f>Estacionamento!D116</f>
        <v>899.75</v>
      </c>
      <c r="E8" s="91">
        <f>Estacionamento!G116</f>
        <v>50369.166666666664</v>
      </c>
      <c r="F8" s="169"/>
    </row>
    <row r="9" spans="1:6" ht="15.75" thickBot="1" x14ac:dyDescent="0.3">
      <c r="A9" s="95" t="s">
        <v>391</v>
      </c>
      <c r="B9" s="86">
        <f>Estacionamento!B117</f>
        <v>33190.583333333336</v>
      </c>
      <c r="C9" s="86">
        <f>Estacionamento!F117</f>
        <v>30970.75</v>
      </c>
      <c r="D9" s="86">
        <f>Estacionamento!D117</f>
        <v>858.16666666666663</v>
      </c>
      <c r="E9" s="86">
        <f>Estacionamento!G117</f>
        <v>31828.916666666668</v>
      </c>
      <c r="F9" s="171"/>
    </row>
    <row r="10" spans="1:6" x14ac:dyDescent="0.25">
      <c r="A10" s="173" t="s">
        <v>392</v>
      </c>
      <c r="B10" s="222">
        <f>Estacionamento!B119</f>
        <v>1822.8383561643836</v>
      </c>
      <c r="C10" s="222">
        <f>Estacionamento!F119</f>
        <v>1626.3917808219178</v>
      </c>
      <c r="D10" s="222">
        <f>Estacionamento!D119</f>
        <v>29.580821917808219</v>
      </c>
      <c r="E10" s="222">
        <f>Estacionamento!G119</f>
        <v>1655.972602739726</v>
      </c>
      <c r="F10" s="226">
        <f>Estacionamento!H119</f>
        <v>5.3940475659274458</v>
      </c>
    </row>
    <row r="11" spans="1:6" ht="15.75" thickBot="1" x14ac:dyDescent="0.3">
      <c r="A11" s="204" t="s">
        <v>393</v>
      </c>
      <c r="B11" s="166">
        <f>Estacionamento!B120</f>
        <v>1091.1972602739727</v>
      </c>
      <c r="C11" s="166">
        <f>Estacionamento!F120</f>
        <v>1018.2164383561643</v>
      </c>
      <c r="D11" s="166">
        <f>Estacionamento!D120</f>
        <v>28.213698630136985</v>
      </c>
      <c r="E11" s="166">
        <f>Estacionamento!G120</f>
        <v>1046.4301369863012</v>
      </c>
      <c r="F11" s="225">
        <f>Estacionamento!H120</f>
        <v>3.4085672214537501</v>
      </c>
    </row>
    <row r="13" spans="1:6" x14ac:dyDescent="0.25">
      <c r="A13" s="175" t="s">
        <v>394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FB7D0-A530-4FF7-BF35-9CD0C2E92E97}">
  <dimension ref="A1:E13"/>
  <sheetViews>
    <sheetView workbookViewId="0">
      <selection activeCell="A2" sqref="A2"/>
    </sheetView>
  </sheetViews>
  <sheetFormatPr defaultRowHeight="15" x14ac:dyDescent="0.25"/>
  <cols>
    <col min="1" max="1" width="18" customWidth="1"/>
    <col min="2" max="2" width="11.7109375" bestFit="1" customWidth="1"/>
    <col min="3" max="3" width="16.28515625" customWidth="1"/>
    <col min="4" max="4" width="16.140625" customWidth="1"/>
  </cols>
  <sheetData>
    <row r="1" spans="1:5" x14ac:dyDescent="0.25">
      <c r="A1" s="78" t="s">
        <v>383</v>
      </c>
      <c r="B1" s="174">
        <v>7</v>
      </c>
      <c r="C1" s="78" t="s">
        <v>525</v>
      </c>
    </row>
    <row r="4" spans="1:5" ht="38.25" x14ac:dyDescent="0.25">
      <c r="A4" s="152" t="s">
        <v>30</v>
      </c>
      <c r="B4" s="152" t="s">
        <v>384</v>
      </c>
      <c r="C4" s="152" t="s">
        <v>395</v>
      </c>
      <c r="D4" s="152" t="s">
        <v>396</v>
      </c>
      <c r="E4" s="152" t="s">
        <v>397</v>
      </c>
    </row>
    <row r="5" spans="1:5" x14ac:dyDescent="0.25">
      <c r="A5" s="95">
        <v>2019</v>
      </c>
      <c r="B5" s="86">
        <f>Sanitários!B112</f>
        <v>760194</v>
      </c>
      <c r="C5" s="86">
        <f>Sanitários!C112</f>
        <v>56367</v>
      </c>
      <c r="D5" s="86">
        <f>Sanitários!D112</f>
        <v>37118</v>
      </c>
      <c r="E5" s="86">
        <f>Sanitários!E112</f>
        <v>666709</v>
      </c>
    </row>
    <row r="6" spans="1:5" x14ac:dyDescent="0.25">
      <c r="A6" s="96">
        <v>2020</v>
      </c>
      <c r="B6" s="180">
        <f>Sanitários!B113</f>
        <v>569368</v>
      </c>
      <c r="C6" s="180">
        <f>Sanitários!C113</f>
        <v>101358</v>
      </c>
      <c r="D6" s="180">
        <f>Sanitários!D113</f>
        <v>37220</v>
      </c>
      <c r="E6" s="180">
        <f>Sanitários!E113</f>
        <v>430790</v>
      </c>
    </row>
    <row r="7" spans="1:5" ht="15.75" thickBot="1" x14ac:dyDescent="0.3">
      <c r="A7" s="165" t="s">
        <v>389</v>
      </c>
      <c r="B7" s="170">
        <f>Sanitários!B114</f>
        <v>-0.25102276524150413</v>
      </c>
      <c r="C7" s="176">
        <f>Sanitários!C114</f>
        <v>0.79817978604502637</v>
      </c>
      <c r="D7" s="176">
        <f>Sanitários!D114</f>
        <v>2.7479928875477899E-3</v>
      </c>
      <c r="E7" s="170">
        <f>Sanitários!E114</f>
        <v>-0.353856030142086</v>
      </c>
    </row>
    <row r="8" spans="1:5" x14ac:dyDescent="0.25">
      <c r="A8" s="96" t="s">
        <v>390</v>
      </c>
      <c r="B8" s="87">
        <f>Sanitários!B116</f>
        <v>63349.5</v>
      </c>
      <c r="C8" s="87">
        <f>Sanitários!C116</f>
        <v>4697.25</v>
      </c>
      <c r="D8" s="87">
        <f>Sanitários!D116</f>
        <v>3093.1666666666665</v>
      </c>
      <c r="E8" s="87">
        <f>Sanitários!E116</f>
        <v>55559.083333333336</v>
      </c>
    </row>
    <row r="9" spans="1:5" ht="15.75" thickBot="1" x14ac:dyDescent="0.3">
      <c r="A9" s="95" t="s">
        <v>391</v>
      </c>
      <c r="B9" s="178">
        <f>Sanitários!B117</f>
        <v>47447.333333333336</v>
      </c>
      <c r="C9" s="178">
        <f>Sanitários!C117</f>
        <v>8446.5</v>
      </c>
      <c r="D9" s="178">
        <f>Sanitários!D117</f>
        <v>3101.6666666666665</v>
      </c>
      <c r="E9" s="178">
        <f>Sanitários!E117</f>
        <v>35899.166666666664</v>
      </c>
    </row>
    <row r="10" spans="1:5" x14ac:dyDescent="0.25">
      <c r="A10" s="173" t="s">
        <v>392</v>
      </c>
      <c r="B10" s="87">
        <f>Sanitários!B119</f>
        <v>2082.7232876712328</v>
      </c>
      <c r="C10" s="87">
        <f>Sanitários!C119</f>
        <v>154.43013698630136</v>
      </c>
      <c r="D10" s="87">
        <f>Sanitários!D119</f>
        <v>101.69315068493151</v>
      </c>
      <c r="E10" s="87">
        <f>Sanitários!E119</f>
        <v>1826.6</v>
      </c>
    </row>
    <row r="11" spans="1:5" ht="15.75" thickBot="1" x14ac:dyDescent="0.3">
      <c r="A11" s="165" t="s">
        <v>393</v>
      </c>
      <c r="B11" s="178">
        <f>Sanitários!B120</f>
        <v>1559.9123287671232</v>
      </c>
      <c r="C11" s="178">
        <f>Sanitários!C120</f>
        <v>277.69315068493148</v>
      </c>
      <c r="D11" s="178">
        <f>Sanitários!D120</f>
        <v>101.97260273972603</v>
      </c>
      <c r="E11" s="178">
        <f>Sanitários!E120</f>
        <v>1180.2465753424658</v>
      </c>
    </row>
    <row r="13" spans="1:5" x14ac:dyDescent="0.25">
      <c r="A13" s="175" t="s">
        <v>394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77E0A-2513-4FF6-9811-EEF80D193D86}">
  <dimension ref="A1:D14"/>
  <sheetViews>
    <sheetView workbookViewId="0">
      <selection activeCell="A2" sqref="A2"/>
    </sheetView>
  </sheetViews>
  <sheetFormatPr defaultRowHeight="15" x14ac:dyDescent="0.25"/>
  <cols>
    <col min="2" max="2" width="14" bestFit="1" customWidth="1"/>
    <col min="3" max="3" width="10.42578125" bestFit="1" customWidth="1"/>
    <col min="4" max="4" width="12" bestFit="1" customWidth="1"/>
  </cols>
  <sheetData>
    <row r="1" spans="1:4" x14ac:dyDescent="0.25">
      <c r="A1" s="78" t="s">
        <v>383</v>
      </c>
      <c r="B1" s="174">
        <v>8</v>
      </c>
      <c r="C1" s="78" t="s">
        <v>526</v>
      </c>
    </row>
    <row r="2" spans="1:4" x14ac:dyDescent="0.25">
      <c r="A2" s="78"/>
      <c r="B2" s="78"/>
      <c r="C2" s="78"/>
    </row>
    <row r="4" spans="1:4" x14ac:dyDescent="0.25">
      <c r="A4" s="152" t="s">
        <v>398</v>
      </c>
      <c r="B4" s="152" t="s">
        <v>399</v>
      </c>
      <c r="C4" s="152" t="s">
        <v>400</v>
      </c>
      <c r="D4" s="152" t="s">
        <v>401</v>
      </c>
    </row>
    <row r="5" spans="1:4" x14ac:dyDescent="0.25">
      <c r="A5" s="259" t="s">
        <v>402</v>
      </c>
      <c r="B5" s="81" t="s">
        <v>403</v>
      </c>
      <c r="C5" s="81" t="s">
        <v>404</v>
      </c>
      <c r="D5" s="81" t="s">
        <v>405</v>
      </c>
    </row>
    <row r="6" spans="1:4" x14ac:dyDescent="0.25">
      <c r="A6" s="259"/>
      <c r="B6" s="172" t="s">
        <v>406</v>
      </c>
      <c r="C6" s="172" t="s">
        <v>407</v>
      </c>
      <c r="D6" s="172" t="s">
        <v>408</v>
      </c>
    </row>
    <row r="7" spans="1:4" ht="25.5" x14ac:dyDescent="0.25">
      <c r="A7" s="259"/>
      <c r="B7" s="81" t="s">
        <v>409</v>
      </c>
      <c r="C7" s="81" t="s">
        <v>407</v>
      </c>
      <c r="D7" s="81" t="s">
        <v>408</v>
      </c>
    </row>
    <row r="8" spans="1:4" x14ac:dyDescent="0.25">
      <c r="A8" s="259"/>
      <c r="B8" s="172" t="s">
        <v>410</v>
      </c>
      <c r="C8" s="172" t="s">
        <v>411</v>
      </c>
      <c r="D8" s="172" t="s">
        <v>412</v>
      </c>
    </row>
    <row r="9" spans="1:4" x14ac:dyDescent="0.25">
      <c r="A9" s="260"/>
      <c r="B9" s="210" t="s">
        <v>413</v>
      </c>
      <c r="C9" s="210" t="s">
        <v>414</v>
      </c>
      <c r="D9" s="210" t="s">
        <v>415</v>
      </c>
    </row>
    <row r="10" spans="1:4" x14ac:dyDescent="0.25">
      <c r="A10" s="259" t="s">
        <v>416</v>
      </c>
      <c r="B10" s="172" t="s">
        <v>403</v>
      </c>
      <c r="C10" s="172" t="s">
        <v>417</v>
      </c>
      <c r="D10" s="172" t="s">
        <v>418</v>
      </c>
    </row>
    <row r="11" spans="1:4" x14ac:dyDescent="0.25">
      <c r="A11" s="259"/>
      <c r="B11" s="81" t="s">
        <v>406</v>
      </c>
      <c r="C11" s="81" t="s">
        <v>419</v>
      </c>
      <c r="D11" s="81" t="s">
        <v>420</v>
      </c>
    </row>
    <row r="12" spans="1:4" ht="25.5" x14ac:dyDescent="0.25">
      <c r="A12" s="259"/>
      <c r="B12" s="172" t="s">
        <v>409</v>
      </c>
      <c r="C12" s="172" t="s">
        <v>419</v>
      </c>
      <c r="D12" s="172" t="s">
        <v>420</v>
      </c>
    </row>
    <row r="13" spans="1:4" ht="15.75" thickBot="1" x14ac:dyDescent="0.3">
      <c r="A13" s="261"/>
      <c r="B13" s="171" t="s">
        <v>410</v>
      </c>
      <c r="C13" s="171" t="s">
        <v>421</v>
      </c>
      <c r="D13" s="171" t="s">
        <v>422</v>
      </c>
    </row>
    <row r="14" spans="1:4" x14ac:dyDescent="0.25">
      <c r="B14" s="158"/>
    </row>
  </sheetData>
  <mergeCells count="2">
    <mergeCell ref="A5:A9"/>
    <mergeCell ref="A10:A1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43479-21D5-4E57-843F-4F76E71A1A0F}">
  <dimension ref="A1:E15"/>
  <sheetViews>
    <sheetView workbookViewId="0">
      <selection activeCell="A2" sqref="A2"/>
    </sheetView>
  </sheetViews>
  <sheetFormatPr defaultRowHeight="15" x14ac:dyDescent="0.25"/>
  <cols>
    <col min="2" max="2" width="14.85546875" customWidth="1"/>
    <col min="5" max="5" width="13" bestFit="1" customWidth="1"/>
  </cols>
  <sheetData>
    <row r="1" spans="1:5" x14ac:dyDescent="0.25">
      <c r="A1" s="78" t="s">
        <v>292</v>
      </c>
      <c r="B1" s="174">
        <v>9</v>
      </c>
      <c r="C1" s="78" t="s">
        <v>527</v>
      </c>
    </row>
    <row r="2" spans="1:5" x14ac:dyDescent="0.25">
      <c r="B2" s="151"/>
    </row>
    <row r="4" spans="1:5" x14ac:dyDescent="0.25">
      <c r="A4" s="262" t="s">
        <v>30</v>
      </c>
      <c r="B4" s="262" t="s">
        <v>423</v>
      </c>
      <c r="C4" s="262" t="s">
        <v>361</v>
      </c>
      <c r="D4" s="262"/>
      <c r="E4" s="262" t="s">
        <v>321</v>
      </c>
    </row>
    <row r="5" spans="1:5" x14ac:dyDescent="0.25">
      <c r="A5" s="262"/>
      <c r="B5" s="262"/>
      <c r="C5" s="152" t="s">
        <v>310</v>
      </c>
      <c r="D5" s="152" t="s">
        <v>364</v>
      </c>
      <c r="E5" s="262"/>
    </row>
    <row r="6" spans="1:5" x14ac:dyDescent="0.25">
      <c r="A6" s="31" t="s">
        <v>424</v>
      </c>
      <c r="B6" s="86">
        <f>EmbDesemBUS!Y50</f>
        <v>474872</v>
      </c>
      <c r="C6" s="86">
        <f>EmbDesemBUS!Z50</f>
        <v>39572.666666666664</v>
      </c>
      <c r="D6" s="86">
        <f>EmbDesemBUS!AA50</f>
        <v>1301.0191780821917</v>
      </c>
      <c r="E6" s="81"/>
    </row>
    <row r="7" spans="1:5" x14ac:dyDescent="0.25">
      <c r="A7" s="96">
        <v>2016</v>
      </c>
      <c r="B7" s="180">
        <f>EmbDesemBUS!Y62</f>
        <v>453375</v>
      </c>
      <c r="C7" s="180">
        <f>EmbDesemBUS!Z62</f>
        <v>37781.25</v>
      </c>
      <c r="D7" s="180">
        <f>EmbDesemBUS!AA62</f>
        <v>1242.1232876712329</v>
      </c>
      <c r="E7" s="181">
        <f>EmbDesemBUS!AB62</f>
        <v>-4.5269040920500624E-2</v>
      </c>
    </row>
    <row r="8" spans="1:5" x14ac:dyDescent="0.25">
      <c r="A8" s="95">
        <v>2017</v>
      </c>
      <c r="B8" s="179">
        <f>EmbDesemBUS!Y74</f>
        <v>461360</v>
      </c>
      <c r="C8" s="179">
        <f>EmbDesemBUS!Z74</f>
        <v>38446.666666666664</v>
      </c>
      <c r="D8" s="179">
        <f>EmbDesemBUS!AA74</f>
        <v>1264</v>
      </c>
      <c r="E8" s="168">
        <f>EmbDesemBUS!AB74</f>
        <v>1.7612351805900171E-2</v>
      </c>
    </row>
    <row r="9" spans="1:5" x14ac:dyDescent="0.25">
      <c r="A9" s="96">
        <v>2018</v>
      </c>
      <c r="B9" s="180">
        <f>EmbDesemBUS!Y86</f>
        <v>454276</v>
      </c>
      <c r="C9" s="180">
        <f>EmbDesemBUS!Z86</f>
        <v>37856.333333333336</v>
      </c>
      <c r="D9" s="180">
        <f>EmbDesemBUS!AA86</f>
        <v>1244.5917808219178</v>
      </c>
      <c r="E9" s="181">
        <f>EmbDesemBUS!AB86</f>
        <v>-1.5354603780128293E-2</v>
      </c>
    </row>
    <row r="10" spans="1:5" x14ac:dyDescent="0.25">
      <c r="A10" s="95">
        <v>2019</v>
      </c>
      <c r="B10" s="179">
        <f>EmbDesemBUS!Y98</f>
        <v>457147</v>
      </c>
      <c r="C10" s="179">
        <f>EmbDesemBUS!Z98</f>
        <v>38095.583333333336</v>
      </c>
      <c r="D10" s="179">
        <f>EmbDesemBUS!AA98</f>
        <v>1252.4575342465753</v>
      </c>
      <c r="E10" s="168">
        <f>EmbDesemBUS!AB98</f>
        <v>6.3199464642639406E-3</v>
      </c>
    </row>
    <row r="11" spans="1:5" ht="15.75" thickBot="1" x14ac:dyDescent="0.3">
      <c r="A11" s="100">
        <v>2020</v>
      </c>
      <c r="B11" s="180">
        <f>EmbDesemBUS!Y110</f>
        <v>242784</v>
      </c>
      <c r="C11" s="177">
        <f>EmbDesemBUS!Z110</f>
        <v>20232</v>
      </c>
      <c r="D11" s="177">
        <f>EmbDesemBUS!AA110</f>
        <v>665.16164383561647</v>
      </c>
      <c r="E11" s="102">
        <f>EmbDesemBUS!AB110</f>
        <v>-0.46891481295950749</v>
      </c>
    </row>
    <row r="12" spans="1:5" x14ac:dyDescent="0.25">
      <c r="B12" s="158"/>
    </row>
    <row r="13" spans="1:5" x14ac:dyDescent="0.25">
      <c r="A13" s="156" t="s">
        <v>366</v>
      </c>
    </row>
    <row r="14" spans="1:5" x14ac:dyDescent="0.25">
      <c r="A14" s="156" t="s">
        <v>425</v>
      </c>
    </row>
    <row r="15" spans="1:5" x14ac:dyDescent="0.25">
      <c r="A15" s="156" t="s">
        <v>426</v>
      </c>
    </row>
  </sheetData>
  <mergeCells count="4">
    <mergeCell ref="A4:A5"/>
    <mergeCell ref="B4:B5"/>
    <mergeCell ref="C4:D4"/>
    <mergeCell ref="E4:E5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7CC83-5772-48EA-BD50-686CB7B2426C}">
  <dimension ref="A1:C2"/>
  <sheetViews>
    <sheetView zoomScale="90" zoomScaleNormal="90" workbookViewId="0"/>
  </sheetViews>
  <sheetFormatPr defaultRowHeight="15" x14ac:dyDescent="0.25"/>
  <sheetData>
    <row r="1" spans="1:3" x14ac:dyDescent="0.25">
      <c r="A1" s="78" t="s">
        <v>299</v>
      </c>
      <c r="B1" s="174">
        <v>4</v>
      </c>
      <c r="C1" s="78" t="s">
        <v>436</v>
      </c>
    </row>
    <row r="2" spans="1:3" x14ac:dyDescent="0.25">
      <c r="A2" s="78"/>
      <c r="B2" s="78"/>
      <c r="C2" s="78"/>
    </row>
  </sheetData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942DD-AC56-4CF1-87F8-B7F0AB5169D2}">
  <dimension ref="A1:E16"/>
  <sheetViews>
    <sheetView zoomScale="90" zoomScaleNormal="90" workbookViewId="0">
      <selection activeCell="A2" sqref="A2"/>
    </sheetView>
  </sheetViews>
  <sheetFormatPr defaultRowHeight="15" x14ac:dyDescent="0.25"/>
  <cols>
    <col min="5" max="5" width="17.140625" customWidth="1"/>
  </cols>
  <sheetData>
    <row r="1" spans="1:5" x14ac:dyDescent="0.25">
      <c r="A1" s="78" t="s">
        <v>292</v>
      </c>
      <c r="B1" s="174">
        <v>10</v>
      </c>
      <c r="C1" s="78" t="s">
        <v>559</v>
      </c>
    </row>
    <row r="2" spans="1:5" x14ac:dyDescent="0.25">
      <c r="A2" s="78"/>
      <c r="B2" s="78"/>
      <c r="C2" s="78"/>
    </row>
    <row r="4" spans="1:5" ht="15.75" thickBot="1" x14ac:dyDescent="0.3">
      <c r="A4" s="248" t="s">
        <v>1</v>
      </c>
      <c r="B4" s="248"/>
      <c r="C4" s="248"/>
      <c r="D4" s="248"/>
      <c r="E4" s="248"/>
    </row>
    <row r="5" spans="1:5" ht="15.75" thickBot="1" x14ac:dyDescent="0.3">
      <c r="A5" s="251" t="s">
        <v>30</v>
      </c>
      <c r="B5" s="253" t="s">
        <v>294</v>
      </c>
      <c r="C5" s="249" t="s">
        <v>361</v>
      </c>
      <c r="D5" s="250"/>
      <c r="E5" s="255" t="s">
        <v>362</v>
      </c>
    </row>
    <row r="6" spans="1:5" ht="15.75" thickBot="1" x14ac:dyDescent="0.3">
      <c r="A6" s="252"/>
      <c r="B6" s="254"/>
      <c r="C6" s="155" t="s">
        <v>363</v>
      </c>
      <c r="D6" s="153" t="s">
        <v>364</v>
      </c>
      <c r="E6" s="256"/>
    </row>
    <row r="7" spans="1:5" x14ac:dyDescent="0.25">
      <c r="A7" s="95" t="s">
        <v>365</v>
      </c>
      <c r="B7" s="86">
        <f>EmbDesemBUS!AE50</f>
        <v>239265</v>
      </c>
      <c r="C7" s="86">
        <f>EmbDesemBUS!AF50</f>
        <v>19938.75</v>
      </c>
      <c r="D7" s="86">
        <f>EmbDesemBUS!AG50</f>
        <v>655.52054794520552</v>
      </c>
      <c r="E7" s="184">
        <f>EmbDesemBUS!AH50</f>
        <v>0.50385156421098742</v>
      </c>
    </row>
    <row r="8" spans="1:5" x14ac:dyDescent="0.25">
      <c r="A8" s="96">
        <v>2016</v>
      </c>
      <c r="B8" s="180">
        <f>EmbDesemBUS!AE62</f>
        <v>229105</v>
      </c>
      <c r="C8" s="180">
        <f>EmbDesemBUS!AF62</f>
        <v>19092.083333333332</v>
      </c>
      <c r="D8" s="180">
        <f>EmbDesemBUS!AG62</f>
        <v>627.68493150684935</v>
      </c>
      <c r="E8" s="183">
        <f>EmbDesemBUS!AH62</f>
        <v>0.50533223049352083</v>
      </c>
    </row>
    <row r="9" spans="1:5" x14ac:dyDescent="0.25">
      <c r="A9" s="95">
        <v>2017</v>
      </c>
      <c r="B9" s="179">
        <f>EmbDesemBUS!AE74</f>
        <v>230680</v>
      </c>
      <c r="C9" s="179">
        <f>EmbDesemBUS!AF74</f>
        <v>19223.333333333332</v>
      </c>
      <c r="D9" s="179">
        <f>EmbDesemBUS!AG74</f>
        <v>632</v>
      </c>
      <c r="E9" s="185">
        <f>EmbDesemBUS!AH74</f>
        <v>0.5</v>
      </c>
    </row>
    <row r="10" spans="1:5" x14ac:dyDescent="0.25">
      <c r="A10" s="96">
        <v>2018</v>
      </c>
      <c r="B10" s="180">
        <f>EmbDesemBUS!AE86</f>
        <v>228374</v>
      </c>
      <c r="C10" s="180">
        <f>EmbDesemBUS!AF86</f>
        <v>19031.166666666668</v>
      </c>
      <c r="D10" s="180">
        <f>EmbDesemBUS!AG86</f>
        <v>625.68219178082188</v>
      </c>
      <c r="E10" s="183">
        <f>EmbDesemBUS!AH86</f>
        <v>0.50272081289788584</v>
      </c>
    </row>
    <row r="11" spans="1:5" x14ac:dyDescent="0.25">
      <c r="A11" s="95">
        <v>2019</v>
      </c>
      <c r="B11" s="179">
        <f>EmbDesemBUS!AE98</f>
        <v>229823</v>
      </c>
      <c r="C11" s="179">
        <f>EmbDesemBUS!AF98</f>
        <v>19151.916666666668</v>
      </c>
      <c r="D11" s="179">
        <f>EmbDesemBUS!AG98</f>
        <v>629.6520547945205</v>
      </c>
      <c r="E11" s="185">
        <f>EmbDesemBUS!AH98</f>
        <v>0.50273325647986311</v>
      </c>
    </row>
    <row r="12" spans="1:5" x14ac:dyDescent="0.25">
      <c r="A12" s="227">
        <v>2020</v>
      </c>
      <c r="B12" s="228">
        <f>EmbDesemBUS!AE110</f>
        <v>122245</v>
      </c>
      <c r="C12" s="228">
        <f>EmbDesemBUS!AF110</f>
        <v>10187.083333333334</v>
      </c>
      <c r="D12" s="228">
        <f>EmbDesemBUS!AG110</f>
        <v>334.91780821917808</v>
      </c>
      <c r="E12" s="229">
        <f>EmbDesemBUS!AH110</f>
        <v>0.50351341109793069</v>
      </c>
    </row>
    <row r="13" spans="1:5" x14ac:dyDescent="0.25">
      <c r="A13" s="156" t="s">
        <v>366</v>
      </c>
    </row>
    <row r="14" spans="1:5" x14ac:dyDescent="0.25">
      <c r="A14" s="156" t="s">
        <v>425</v>
      </c>
    </row>
    <row r="15" spans="1:5" x14ac:dyDescent="0.25">
      <c r="A15" s="156" t="s">
        <v>367</v>
      </c>
    </row>
    <row r="16" spans="1:5" x14ac:dyDescent="0.25">
      <c r="A16" s="156" t="s">
        <v>427</v>
      </c>
    </row>
  </sheetData>
  <mergeCells count="5">
    <mergeCell ref="A4:E4"/>
    <mergeCell ref="A5:A6"/>
    <mergeCell ref="B5:B6"/>
    <mergeCell ref="C5:D5"/>
    <mergeCell ref="E5:E6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7F5F5-775D-49DA-863B-AED3DC5C872B}">
  <dimension ref="A1:E16"/>
  <sheetViews>
    <sheetView zoomScale="90" zoomScaleNormal="90" workbookViewId="0">
      <selection activeCell="A2" sqref="A2"/>
    </sheetView>
  </sheetViews>
  <sheetFormatPr defaultRowHeight="15" x14ac:dyDescent="0.25"/>
  <cols>
    <col min="5" max="5" width="17.140625" customWidth="1"/>
  </cols>
  <sheetData>
    <row r="1" spans="1:5" x14ac:dyDescent="0.25">
      <c r="A1" s="78" t="s">
        <v>292</v>
      </c>
      <c r="B1" s="219">
        <v>11</v>
      </c>
      <c r="C1" s="78" t="s">
        <v>558</v>
      </c>
    </row>
    <row r="2" spans="1:5" x14ac:dyDescent="0.25">
      <c r="A2" s="78"/>
      <c r="B2" s="78"/>
      <c r="C2" s="78"/>
    </row>
    <row r="4" spans="1:5" ht="15.75" thickBot="1" x14ac:dyDescent="0.3">
      <c r="A4" s="248" t="s">
        <v>3</v>
      </c>
      <c r="B4" s="248"/>
      <c r="C4" s="248"/>
      <c r="D4" s="248"/>
      <c r="E4" s="248"/>
    </row>
    <row r="5" spans="1:5" ht="15.75" thickBot="1" x14ac:dyDescent="0.3">
      <c r="A5" s="251" t="s">
        <v>30</v>
      </c>
      <c r="B5" s="253" t="s">
        <v>294</v>
      </c>
      <c r="C5" s="258" t="s">
        <v>361</v>
      </c>
      <c r="D5" s="250"/>
      <c r="E5" s="255" t="s">
        <v>362</v>
      </c>
    </row>
    <row r="6" spans="1:5" ht="15.75" thickBot="1" x14ac:dyDescent="0.3">
      <c r="A6" s="257"/>
      <c r="B6" s="254"/>
      <c r="C6" s="220" t="s">
        <v>363</v>
      </c>
      <c r="D6" s="221" t="s">
        <v>364</v>
      </c>
      <c r="E6" s="256"/>
    </row>
    <row r="7" spans="1:5" x14ac:dyDescent="0.25">
      <c r="A7" s="95">
        <v>2015</v>
      </c>
      <c r="B7" s="86">
        <f>EmbDesemBUS!AJ50</f>
        <v>235607</v>
      </c>
      <c r="C7" s="86">
        <f>EmbDesemBUS!AK50</f>
        <v>19633.916666666668</v>
      </c>
      <c r="D7" s="86">
        <f>EmbDesemBUS!AL50</f>
        <v>645.49863013698632</v>
      </c>
      <c r="E7" s="185">
        <f>EmbDesemBUS!AM50</f>
        <v>0.49614843578901263</v>
      </c>
    </row>
    <row r="8" spans="1:5" x14ac:dyDescent="0.25">
      <c r="A8" s="96">
        <v>2016</v>
      </c>
      <c r="B8" s="87">
        <f>EmbDesemBUS!AJ62</f>
        <v>224270</v>
      </c>
      <c r="C8" s="87">
        <f>EmbDesemBUS!AK62</f>
        <v>18689.166666666668</v>
      </c>
      <c r="D8" s="87">
        <f>EmbDesemBUS!AL62</f>
        <v>614.43835616438355</v>
      </c>
      <c r="E8" s="183">
        <f>EmbDesemBUS!AM62</f>
        <v>0.49466776950647917</v>
      </c>
    </row>
    <row r="9" spans="1:5" x14ac:dyDescent="0.25">
      <c r="A9" s="95">
        <v>2017</v>
      </c>
      <c r="B9" s="86">
        <f>EmbDesemBUS!AJ74</f>
        <v>230680</v>
      </c>
      <c r="C9" s="86">
        <f>EmbDesemBUS!AK74</f>
        <v>19223.333333333332</v>
      </c>
      <c r="D9" s="86">
        <f>EmbDesemBUS!AL74</f>
        <v>632</v>
      </c>
      <c r="E9" s="185">
        <f>EmbDesemBUS!AM74</f>
        <v>0.5</v>
      </c>
    </row>
    <row r="10" spans="1:5" x14ac:dyDescent="0.25">
      <c r="A10" s="96">
        <v>2018</v>
      </c>
      <c r="B10" s="87">
        <f>EmbDesemBUS!AJ86</f>
        <v>225902</v>
      </c>
      <c r="C10" s="87">
        <f>EmbDesemBUS!AK86</f>
        <v>18825.166666666668</v>
      </c>
      <c r="D10" s="87">
        <f>EmbDesemBUS!AL86</f>
        <v>618.90958904109584</v>
      </c>
      <c r="E10" s="183">
        <f>EmbDesemBUS!AM86</f>
        <v>0.49727918710211411</v>
      </c>
    </row>
    <row r="11" spans="1:5" x14ac:dyDescent="0.25">
      <c r="A11" s="95">
        <v>2019</v>
      </c>
      <c r="B11" s="86">
        <f>EmbDesemBUS!AJ98</f>
        <v>227324</v>
      </c>
      <c r="C11" s="86">
        <f>EmbDesemBUS!AK98</f>
        <v>18943.666666666668</v>
      </c>
      <c r="D11" s="86">
        <f>EmbDesemBUS!AL98</f>
        <v>622.80547945205478</v>
      </c>
      <c r="E11" s="185">
        <f>EmbDesemBUS!AM98</f>
        <v>0.49726674352013683</v>
      </c>
    </row>
    <row r="12" spans="1:5" ht="15.75" thickBot="1" x14ac:dyDescent="0.3">
      <c r="A12" s="100">
        <v>2020</v>
      </c>
      <c r="B12" s="177">
        <f>EmbDesemBUS!AJ110</f>
        <v>120539</v>
      </c>
      <c r="C12" s="177">
        <f>EmbDesemBUS!AK110</f>
        <v>10044.916666666666</v>
      </c>
      <c r="D12" s="177">
        <f>EmbDesemBUS!AL110</f>
        <v>330.24383561643833</v>
      </c>
      <c r="E12" s="182">
        <f>EmbDesemBUS!AM110</f>
        <v>0.49648658890206931</v>
      </c>
    </row>
    <row r="13" spans="1:5" x14ac:dyDescent="0.25">
      <c r="A13" s="156" t="s">
        <v>366</v>
      </c>
      <c r="B13" s="8"/>
    </row>
    <row r="14" spans="1:5" x14ac:dyDescent="0.25">
      <c r="A14" s="156" t="s">
        <v>425</v>
      </c>
    </row>
    <row r="15" spans="1:5" x14ac:dyDescent="0.25">
      <c r="A15" s="156" t="s">
        <v>367</v>
      </c>
    </row>
    <row r="16" spans="1:5" x14ac:dyDescent="0.25">
      <c r="A16" s="156" t="s">
        <v>427</v>
      </c>
    </row>
  </sheetData>
  <mergeCells count="5">
    <mergeCell ref="A5:A6"/>
    <mergeCell ref="B5:B6"/>
    <mergeCell ref="C5:D5"/>
    <mergeCell ref="E5:E6"/>
    <mergeCell ref="A4:E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AC9B1-A8D5-4FAE-82C6-38A6B3DCDE5E}">
  <dimension ref="A1:C19"/>
  <sheetViews>
    <sheetView workbookViewId="0">
      <selection activeCell="A2" sqref="A2"/>
    </sheetView>
  </sheetViews>
  <sheetFormatPr defaultRowHeight="15" x14ac:dyDescent="0.25"/>
  <cols>
    <col min="2" max="2" width="29.5703125" customWidth="1"/>
  </cols>
  <sheetData>
    <row r="1" spans="1:3" x14ac:dyDescent="0.25">
      <c r="A1" s="78" t="s">
        <v>292</v>
      </c>
      <c r="B1" s="174">
        <v>12</v>
      </c>
      <c r="C1" s="209" t="s">
        <v>529</v>
      </c>
    </row>
    <row r="2" spans="1:3" x14ac:dyDescent="0.25">
      <c r="A2" s="78"/>
      <c r="B2" s="78"/>
      <c r="C2" s="78"/>
    </row>
    <row r="3" spans="1:3" ht="15.75" thickBot="1" x14ac:dyDescent="0.3"/>
    <row r="4" spans="1:3" x14ac:dyDescent="0.25">
      <c r="A4" s="251" t="s">
        <v>31</v>
      </c>
      <c r="B4" s="255" t="s">
        <v>370</v>
      </c>
      <c r="C4" s="159"/>
    </row>
    <row r="5" spans="1:3" x14ac:dyDescent="0.25">
      <c r="A5" s="252"/>
      <c r="B5" s="256"/>
      <c r="C5" s="159"/>
    </row>
    <row r="6" spans="1:3" x14ac:dyDescent="0.25">
      <c r="A6" s="160" t="s">
        <v>371</v>
      </c>
      <c r="B6" s="98">
        <f>EmbDesemBUS!AC113</f>
        <v>8.7620491792078162E-2</v>
      </c>
      <c r="C6" s="167"/>
    </row>
    <row r="7" spans="1:3" x14ac:dyDescent="0.25">
      <c r="A7" s="161" t="s">
        <v>372</v>
      </c>
      <c r="B7" s="103">
        <f>EmbDesemBUS!AC114</f>
        <v>7.771568469261303E-2</v>
      </c>
      <c r="C7" s="167"/>
    </row>
    <row r="8" spans="1:3" x14ac:dyDescent="0.25">
      <c r="A8" s="160" t="s">
        <v>373</v>
      </c>
      <c r="B8" s="98">
        <f>EmbDesemBUS!AC115</f>
        <v>8.3942458962179028E-2</v>
      </c>
      <c r="C8" s="159"/>
    </row>
    <row r="9" spans="1:3" x14ac:dyDescent="0.25">
      <c r="A9" s="161" t="s">
        <v>374</v>
      </c>
      <c r="B9" s="103">
        <f>EmbDesemBUS!AC116</f>
        <v>8.2719158142780885E-2</v>
      </c>
      <c r="C9" s="159"/>
    </row>
    <row r="10" spans="1:3" x14ac:dyDescent="0.25">
      <c r="A10" s="160" t="s">
        <v>375</v>
      </c>
      <c r="B10" s="98">
        <f>EmbDesemBUS!AC117</f>
        <v>8.3068179370332812E-2</v>
      </c>
      <c r="C10" s="159"/>
    </row>
    <row r="11" spans="1:3" ht="15.75" thickBot="1" x14ac:dyDescent="0.3">
      <c r="A11" s="161" t="s">
        <v>376</v>
      </c>
      <c r="B11" s="103">
        <f>EmbDesemBUS!AC118</f>
        <v>8.1268191366385786E-2</v>
      </c>
      <c r="C11" s="159"/>
    </row>
    <row r="12" spans="1:3" x14ac:dyDescent="0.25">
      <c r="A12" s="162" t="s">
        <v>377</v>
      </c>
      <c r="B12" s="98">
        <f>EmbDesemBUS!AC119</f>
        <v>8.5895839705399879E-2</v>
      </c>
      <c r="C12" s="159"/>
    </row>
    <row r="13" spans="1:3" x14ac:dyDescent="0.25">
      <c r="A13" s="161" t="s">
        <v>378</v>
      </c>
      <c r="B13" s="103">
        <f>EmbDesemBUS!AC120</f>
        <v>8.3983840203013152E-2</v>
      </c>
      <c r="C13" s="159"/>
    </row>
    <row r="14" spans="1:3" x14ac:dyDescent="0.25">
      <c r="A14" s="160" t="s">
        <v>379</v>
      </c>
      <c r="B14" s="98">
        <f>EmbDesemBUS!AC121</f>
        <v>8.1534122825440786E-2</v>
      </c>
      <c r="C14" s="159"/>
    </row>
    <row r="15" spans="1:3" x14ac:dyDescent="0.25">
      <c r="A15" s="161" t="s">
        <v>380</v>
      </c>
      <c r="B15" s="103">
        <f>EmbDesemBUS!AC122</f>
        <v>8.4229996155421788E-2</v>
      </c>
      <c r="C15" s="159"/>
    </row>
    <row r="16" spans="1:3" x14ac:dyDescent="0.25">
      <c r="A16" s="160" t="s">
        <v>381</v>
      </c>
      <c r="B16" s="98">
        <f>EmbDesemBUS!AC123</f>
        <v>8.0527742415525821E-2</v>
      </c>
      <c r="C16" s="159"/>
    </row>
    <row r="17" spans="1:3" ht="15.75" thickBot="1" x14ac:dyDescent="0.3">
      <c r="A17" s="163" t="s">
        <v>382</v>
      </c>
      <c r="B17" s="103">
        <f>EmbDesemBUS!AC124</f>
        <v>8.749429436882887E-2</v>
      </c>
      <c r="C17" s="159"/>
    </row>
    <row r="18" spans="1:3" x14ac:dyDescent="0.25">
      <c r="B18" s="158"/>
    </row>
    <row r="19" spans="1:3" x14ac:dyDescent="0.25">
      <c r="B19" s="8"/>
    </row>
  </sheetData>
  <mergeCells count="2">
    <mergeCell ref="A4:A5"/>
    <mergeCell ref="B4:B5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CE6FC-4917-4EC5-8FA0-F04CD19AF245}">
  <dimension ref="A1:D12"/>
  <sheetViews>
    <sheetView workbookViewId="0">
      <selection activeCell="A2" sqref="A2"/>
    </sheetView>
  </sheetViews>
  <sheetFormatPr defaultRowHeight="15" x14ac:dyDescent="0.25"/>
  <cols>
    <col min="2" max="2" width="17.42578125" customWidth="1"/>
    <col min="3" max="3" width="24.5703125" customWidth="1"/>
    <col min="4" max="4" width="26.28515625" customWidth="1"/>
  </cols>
  <sheetData>
    <row r="1" spans="1:4" x14ac:dyDescent="0.25">
      <c r="A1" s="78" t="s">
        <v>383</v>
      </c>
      <c r="B1" s="174">
        <v>13</v>
      </c>
      <c r="C1" s="78" t="s">
        <v>530</v>
      </c>
    </row>
    <row r="2" spans="1:4" x14ac:dyDescent="0.25">
      <c r="A2" s="78"/>
      <c r="B2" s="78"/>
      <c r="C2" s="78"/>
    </row>
    <row r="4" spans="1:4" x14ac:dyDescent="0.25">
      <c r="A4" s="152" t="s">
        <v>30</v>
      </c>
      <c r="B4" s="152" t="s">
        <v>428</v>
      </c>
      <c r="C4" s="152" t="s">
        <v>429</v>
      </c>
      <c r="D4" s="152" t="s">
        <v>430</v>
      </c>
    </row>
    <row r="5" spans="1:4" ht="15.75" x14ac:dyDescent="0.25">
      <c r="A5" s="95" t="s">
        <v>431</v>
      </c>
      <c r="B5" s="179">
        <f>EmbDesemBUS!AN50</f>
        <v>4359997</v>
      </c>
      <c r="C5" s="179">
        <f>EmbDesemBUS!AE50</f>
        <v>239265</v>
      </c>
      <c r="D5" s="179">
        <f>EmbDesemBUS!AX50</f>
        <v>35.257095688880533</v>
      </c>
    </row>
    <row r="6" spans="1:4" x14ac:dyDescent="0.25">
      <c r="A6" s="96">
        <v>2016</v>
      </c>
      <c r="B6" s="180">
        <f>EmbDesemBUS!AN62</f>
        <v>3953193</v>
      </c>
      <c r="C6" s="180">
        <f>EmbDesemBUS!AE62</f>
        <v>229105</v>
      </c>
      <c r="D6" s="180">
        <f>EmbDesemBUS!AX62</f>
        <v>33.201174134130639</v>
      </c>
    </row>
    <row r="7" spans="1:4" x14ac:dyDescent="0.25">
      <c r="A7" s="95">
        <v>2017</v>
      </c>
      <c r="B7" s="179">
        <f>EmbDesemBUS!AN74</f>
        <v>4028351</v>
      </c>
      <c r="C7" s="179">
        <f>EmbDesemBUS!AE74</f>
        <v>230680</v>
      </c>
      <c r="D7" s="179">
        <f>EmbDesemBUS!AX74</f>
        <v>33.707985087567195</v>
      </c>
    </row>
    <row r="8" spans="1:4" x14ac:dyDescent="0.25">
      <c r="A8" s="96">
        <v>2018</v>
      </c>
      <c r="B8" s="180">
        <f>EmbDesemBUS!AN86</f>
        <v>4337415</v>
      </c>
      <c r="C8" s="180">
        <f>EmbDesemBUS!AE86</f>
        <v>228374</v>
      </c>
      <c r="D8" s="180">
        <f>EmbDesemBUS!AX86</f>
        <v>36.6624834700973</v>
      </c>
    </row>
    <row r="9" spans="1:4" x14ac:dyDescent="0.25">
      <c r="A9" s="95">
        <v>2019</v>
      </c>
      <c r="B9" s="179">
        <f>EmbDesemBUS!AN98</f>
        <v>4462676</v>
      </c>
      <c r="C9" s="179">
        <f>EmbDesemBUS!AE98</f>
        <v>229823</v>
      </c>
      <c r="D9" s="179">
        <f>EmbDesemBUS!AX98</f>
        <v>37.504218463774293</v>
      </c>
    </row>
    <row r="10" spans="1:4" ht="15.75" thickBot="1" x14ac:dyDescent="0.3">
      <c r="A10" s="100">
        <v>2020</v>
      </c>
      <c r="B10" s="177">
        <f>EmbDesemBUS!AN110</f>
        <v>2005314</v>
      </c>
      <c r="C10" s="177">
        <f>EmbDesemBUS!AE110</f>
        <v>122245</v>
      </c>
      <c r="D10" s="177">
        <f>EmbDesemBUS!AX110</f>
        <v>32.644795288150846</v>
      </c>
    </row>
    <row r="12" spans="1:4" x14ac:dyDescent="0.25">
      <c r="A12" s="186" t="s">
        <v>432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70687-B646-42D0-B0DB-4E3275B013E1}">
  <dimension ref="A1:C41"/>
  <sheetViews>
    <sheetView workbookViewId="0">
      <selection activeCell="A2" sqref="A2"/>
    </sheetView>
  </sheetViews>
  <sheetFormatPr defaultRowHeight="15" x14ac:dyDescent="0.25"/>
  <cols>
    <col min="2" max="2" width="19.140625" customWidth="1"/>
    <col min="3" max="3" width="21.42578125" customWidth="1"/>
  </cols>
  <sheetData>
    <row r="1" spans="1:3" x14ac:dyDescent="0.25">
      <c r="A1" s="78" t="s">
        <v>292</v>
      </c>
      <c r="B1" s="174">
        <v>14</v>
      </c>
      <c r="C1" s="78" t="s">
        <v>531</v>
      </c>
    </row>
    <row r="2" spans="1:3" x14ac:dyDescent="0.25">
      <c r="A2" s="78"/>
      <c r="B2" s="78"/>
      <c r="C2" s="78"/>
    </row>
    <row r="4" spans="1:3" ht="38.25" x14ac:dyDescent="0.25">
      <c r="A4" s="152"/>
      <c r="B4" s="152" t="s">
        <v>433</v>
      </c>
      <c r="C4" s="152" t="s">
        <v>434</v>
      </c>
    </row>
    <row r="5" spans="1:3" x14ac:dyDescent="0.25">
      <c r="A5" s="187">
        <v>2017</v>
      </c>
      <c r="B5" s="187" t="s">
        <v>435</v>
      </c>
      <c r="C5" s="187" t="s">
        <v>435</v>
      </c>
    </row>
    <row r="6" spans="1:3" x14ac:dyDescent="0.25">
      <c r="A6" s="172">
        <v>2018</v>
      </c>
      <c r="B6" s="99">
        <v>1.2999999999999999E-2</v>
      </c>
      <c r="C6" s="99">
        <v>1.2999999999999999E-2</v>
      </c>
    </row>
    <row r="7" spans="1:3" x14ac:dyDescent="0.25">
      <c r="A7" s="187">
        <v>2019</v>
      </c>
      <c r="B7" s="188">
        <v>1.0999999999999999E-2</v>
      </c>
      <c r="C7" s="188">
        <v>1.0999999999999999E-2</v>
      </c>
    </row>
    <row r="8" spans="1:3" x14ac:dyDescent="0.25">
      <c r="A8" s="172">
        <v>2020</v>
      </c>
      <c r="B8" s="99">
        <v>-0.06</v>
      </c>
      <c r="C8" s="99">
        <v>-0.06</v>
      </c>
    </row>
    <row r="9" spans="1:3" x14ac:dyDescent="0.25">
      <c r="A9" s="187">
        <v>2021</v>
      </c>
      <c r="B9" s="188">
        <v>3.5999999999999997E-2</v>
      </c>
      <c r="C9" s="188">
        <v>4.7E-2</v>
      </c>
    </row>
    <row r="10" spans="1:3" x14ac:dyDescent="0.25">
      <c r="A10" s="172">
        <v>2022</v>
      </c>
      <c r="B10" s="99">
        <v>2.5999999999999999E-2</v>
      </c>
      <c r="C10" s="99">
        <v>4.2000000000000003E-2</v>
      </c>
    </row>
    <row r="11" spans="1:3" x14ac:dyDescent="0.25">
      <c r="A11" s="187">
        <v>2023</v>
      </c>
      <c r="B11" s="188">
        <v>2.5000000000000001E-2</v>
      </c>
      <c r="C11" s="188">
        <v>4.1000000000000002E-2</v>
      </c>
    </row>
    <row r="12" spans="1:3" x14ac:dyDescent="0.25">
      <c r="A12" s="172">
        <v>2024</v>
      </c>
      <c r="B12" s="99">
        <v>2.3E-2</v>
      </c>
      <c r="C12" s="99">
        <v>3.9E-2</v>
      </c>
    </row>
    <row r="13" spans="1:3" x14ac:dyDescent="0.25">
      <c r="A13" s="187">
        <v>2025</v>
      </c>
      <c r="B13" s="188">
        <v>2.1000000000000001E-2</v>
      </c>
      <c r="C13" s="188">
        <v>3.5999999999999997E-2</v>
      </c>
    </row>
    <row r="14" spans="1:3" x14ac:dyDescent="0.25">
      <c r="A14" s="172">
        <v>2026</v>
      </c>
      <c r="B14" s="99">
        <v>0.02</v>
      </c>
      <c r="C14" s="99">
        <v>3.5999999999999997E-2</v>
      </c>
    </row>
    <row r="15" spans="1:3" x14ac:dyDescent="0.25">
      <c r="A15" s="187">
        <v>2027</v>
      </c>
      <c r="B15" s="188">
        <v>0.02</v>
      </c>
      <c r="C15" s="188">
        <v>3.1E-2</v>
      </c>
    </row>
    <row r="16" spans="1:3" x14ac:dyDescent="0.25">
      <c r="A16" s="172">
        <v>2028</v>
      </c>
      <c r="B16" s="99">
        <v>1.9E-2</v>
      </c>
      <c r="C16" s="99">
        <v>0.03</v>
      </c>
    </row>
    <row r="17" spans="1:3" x14ac:dyDescent="0.25">
      <c r="A17" s="187">
        <v>2029</v>
      </c>
      <c r="B17" s="188">
        <v>1.9E-2</v>
      </c>
      <c r="C17" s="188">
        <v>0.03</v>
      </c>
    </row>
    <row r="18" spans="1:3" x14ac:dyDescent="0.25">
      <c r="A18" s="172">
        <v>2030</v>
      </c>
      <c r="B18" s="99">
        <v>1.7999999999999999E-2</v>
      </c>
      <c r="C18" s="99">
        <v>2.8000000000000001E-2</v>
      </c>
    </row>
    <row r="19" spans="1:3" x14ac:dyDescent="0.25">
      <c r="A19" s="187">
        <v>2031</v>
      </c>
      <c r="B19" s="188">
        <v>1.6E-2</v>
      </c>
      <c r="C19" s="188">
        <v>2.7E-2</v>
      </c>
    </row>
    <row r="20" spans="1:3" x14ac:dyDescent="0.25">
      <c r="A20" s="172">
        <v>2032</v>
      </c>
      <c r="B20" s="99">
        <v>1.2999999999999999E-2</v>
      </c>
      <c r="C20" s="99">
        <v>2.7E-2</v>
      </c>
    </row>
    <row r="21" spans="1:3" x14ac:dyDescent="0.25">
      <c r="A21" s="187">
        <v>2033</v>
      </c>
      <c r="B21" s="188">
        <v>1.2E-2</v>
      </c>
      <c r="C21" s="188">
        <v>2.5999999999999999E-2</v>
      </c>
    </row>
    <row r="22" spans="1:3" x14ac:dyDescent="0.25">
      <c r="A22" s="172">
        <v>2034</v>
      </c>
      <c r="B22" s="99">
        <v>1.2E-2</v>
      </c>
      <c r="C22" s="99">
        <v>2.5999999999999999E-2</v>
      </c>
    </row>
    <row r="23" spans="1:3" x14ac:dyDescent="0.25">
      <c r="A23" s="187">
        <v>2035</v>
      </c>
      <c r="B23" s="188">
        <v>1.2E-2</v>
      </c>
      <c r="C23" s="188">
        <v>2.5999999999999999E-2</v>
      </c>
    </row>
    <row r="24" spans="1:3" x14ac:dyDescent="0.25">
      <c r="A24" s="172">
        <v>2036</v>
      </c>
      <c r="B24" s="99">
        <v>1.2E-2</v>
      </c>
      <c r="C24" s="99">
        <v>2.5999999999999999E-2</v>
      </c>
    </row>
    <row r="25" spans="1:3" x14ac:dyDescent="0.25">
      <c r="A25" s="187">
        <v>2037</v>
      </c>
      <c r="B25" s="188">
        <v>1.2E-2</v>
      </c>
      <c r="C25" s="188">
        <v>2.5000000000000001E-2</v>
      </c>
    </row>
    <row r="26" spans="1:3" x14ac:dyDescent="0.25">
      <c r="A26" s="172">
        <v>2038</v>
      </c>
      <c r="B26" s="99">
        <v>1.2E-2</v>
      </c>
      <c r="C26" s="99">
        <v>2.5000000000000001E-2</v>
      </c>
    </row>
    <row r="27" spans="1:3" x14ac:dyDescent="0.25">
      <c r="A27" s="187">
        <v>2039</v>
      </c>
      <c r="B27" s="188">
        <v>1.0999999999999999E-2</v>
      </c>
      <c r="C27" s="188">
        <v>2.5000000000000001E-2</v>
      </c>
    </row>
    <row r="28" spans="1:3" x14ac:dyDescent="0.25">
      <c r="A28" s="172">
        <v>2040</v>
      </c>
      <c r="B28" s="99">
        <v>1.0999999999999999E-2</v>
      </c>
      <c r="C28" s="99">
        <v>2.5000000000000001E-2</v>
      </c>
    </row>
    <row r="29" spans="1:3" x14ac:dyDescent="0.25">
      <c r="A29" s="187">
        <v>2041</v>
      </c>
      <c r="B29" s="188">
        <v>1.0999999999999999E-2</v>
      </c>
      <c r="C29" s="188">
        <v>2.4E-2</v>
      </c>
    </row>
    <row r="30" spans="1:3" x14ac:dyDescent="0.25">
      <c r="A30" s="172">
        <v>2042</v>
      </c>
      <c r="B30" s="99">
        <v>1.0999999999999999E-2</v>
      </c>
      <c r="C30" s="99">
        <v>2.4E-2</v>
      </c>
    </row>
    <row r="31" spans="1:3" x14ac:dyDescent="0.25">
      <c r="A31" s="187">
        <v>2043</v>
      </c>
      <c r="B31" s="188">
        <v>0.01</v>
      </c>
      <c r="C31" s="188">
        <v>2.3E-2</v>
      </c>
    </row>
    <row r="32" spans="1:3" x14ac:dyDescent="0.25">
      <c r="A32" s="172">
        <v>2044</v>
      </c>
      <c r="B32" s="99">
        <v>0.01</v>
      </c>
      <c r="C32" s="99">
        <v>2.3E-2</v>
      </c>
    </row>
    <row r="33" spans="1:3" x14ac:dyDescent="0.25">
      <c r="A33" s="187">
        <v>2045</v>
      </c>
      <c r="B33" s="188">
        <v>0.01</v>
      </c>
      <c r="C33" s="188">
        <v>2.1999999999999999E-2</v>
      </c>
    </row>
    <row r="34" spans="1:3" x14ac:dyDescent="0.25">
      <c r="A34" s="172">
        <v>2046</v>
      </c>
      <c r="B34" s="99">
        <v>8.9999999999999993E-3</v>
      </c>
      <c r="C34" s="99">
        <v>2.1999999999999999E-2</v>
      </c>
    </row>
    <row r="35" spans="1:3" x14ac:dyDescent="0.25">
      <c r="A35" s="187">
        <v>2047</v>
      </c>
      <c r="B35" s="188">
        <v>8.9999999999999993E-3</v>
      </c>
      <c r="C35" s="188">
        <v>2.1999999999999999E-2</v>
      </c>
    </row>
    <row r="36" spans="1:3" x14ac:dyDescent="0.25">
      <c r="A36" s="172">
        <v>2048</v>
      </c>
      <c r="B36" s="99">
        <v>8.9999999999999993E-3</v>
      </c>
      <c r="C36" s="99">
        <v>2.1000000000000001E-2</v>
      </c>
    </row>
    <row r="37" spans="1:3" x14ac:dyDescent="0.25">
      <c r="A37" s="187">
        <v>2049</v>
      </c>
      <c r="B37" s="188">
        <v>8.0000000000000002E-3</v>
      </c>
      <c r="C37" s="188">
        <v>2.1000000000000001E-2</v>
      </c>
    </row>
    <row r="38" spans="1:3" x14ac:dyDescent="0.25">
      <c r="A38" s="172">
        <v>2050</v>
      </c>
      <c r="B38" s="99">
        <v>8.0000000000000002E-3</v>
      </c>
      <c r="C38" s="99">
        <v>0.02</v>
      </c>
    </row>
    <row r="39" spans="1:3" ht="15.75" thickBot="1" x14ac:dyDescent="0.3">
      <c r="A39" s="203">
        <v>2051</v>
      </c>
      <c r="B39" s="195">
        <v>8.0000000000000002E-3</v>
      </c>
      <c r="C39" s="195">
        <v>0.02</v>
      </c>
    </row>
    <row r="41" spans="1:3" x14ac:dyDescent="0.25">
      <c r="A41" s="193"/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33153-8B8B-4A8B-8904-5A13A8A148DB}">
  <dimension ref="A1:D21"/>
  <sheetViews>
    <sheetView workbookViewId="0">
      <selection activeCell="A2" sqref="A2"/>
    </sheetView>
  </sheetViews>
  <sheetFormatPr defaultRowHeight="15" x14ac:dyDescent="0.25"/>
  <cols>
    <col min="1" max="1" width="13.5703125" bestFit="1" customWidth="1"/>
    <col min="2" max="2" width="10.85546875" bestFit="1" customWidth="1"/>
    <col min="3" max="3" width="14.42578125" bestFit="1" customWidth="1"/>
  </cols>
  <sheetData>
    <row r="1" spans="1:4" x14ac:dyDescent="0.25">
      <c r="A1" s="78" t="s">
        <v>292</v>
      </c>
      <c r="B1" s="174">
        <v>15</v>
      </c>
      <c r="C1" s="78" t="s">
        <v>532</v>
      </c>
    </row>
    <row r="2" spans="1:4" x14ac:dyDescent="0.25">
      <c r="A2" s="78"/>
      <c r="B2" s="78"/>
      <c r="C2" s="78"/>
    </row>
    <row r="4" spans="1:4" x14ac:dyDescent="0.25">
      <c r="A4" s="79" t="s">
        <v>0</v>
      </c>
      <c r="B4" s="79" t="s">
        <v>2</v>
      </c>
      <c r="C4" s="79" t="s">
        <v>4</v>
      </c>
      <c r="D4" s="79" t="s">
        <v>293</v>
      </c>
    </row>
    <row r="5" spans="1:4" x14ac:dyDescent="0.25">
      <c r="A5" s="189" t="s">
        <v>442</v>
      </c>
      <c r="B5" s="86">
        <f>EmbDesemBUS!N99</f>
        <v>391197</v>
      </c>
      <c r="C5" s="86">
        <f>EmbDesemBUS!P99</f>
        <v>425738</v>
      </c>
      <c r="D5" s="86">
        <f>SUM(B5:C5)</f>
        <v>816935</v>
      </c>
    </row>
    <row r="6" spans="1:4" x14ac:dyDescent="0.25">
      <c r="A6" s="190" t="s">
        <v>443</v>
      </c>
      <c r="B6" s="91">
        <f>EmbDesemBUS!N100</f>
        <v>332598</v>
      </c>
      <c r="C6" s="91">
        <f>EmbDesemBUS!P100</f>
        <v>327777</v>
      </c>
      <c r="D6" s="91">
        <f t="shared" ref="D6:D16" si="0">SUM(B6:C6)</f>
        <v>660375</v>
      </c>
    </row>
    <row r="7" spans="1:4" x14ac:dyDescent="0.25">
      <c r="A7" s="189" t="s">
        <v>439</v>
      </c>
      <c r="B7" s="86">
        <f>EmbDesemBUS!N101</f>
        <v>196725</v>
      </c>
      <c r="C7" s="86">
        <f>EmbDesemBUS!P101</f>
        <v>195435</v>
      </c>
      <c r="D7" s="86">
        <f t="shared" si="0"/>
        <v>392160</v>
      </c>
    </row>
    <row r="8" spans="1:4" x14ac:dyDescent="0.25">
      <c r="A8" s="190" t="s">
        <v>444</v>
      </c>
      <c r="B8" s="91">
        <f>EmbDesemBUS!N102</f>
        <v>35511</v>
      </c>
      <c r="C8" s="91">
        <f>EmbDesemBUS!P102</f>
        <v>30796</v>
      </c>
      <c r="D8" s="91">
        <f t="shared" si="0"/>
        <v>66307</v>
      </c>
    </row>
    <row r="9" spans="1:4" x14ac:dyDescent="0.25">
      <c r="A9" s="189" t="s">
        <v>441</v>
      </c>
      <c r="B9" s="86">
        <f>EmbDesemBUS!N103</f>
        <v>52611</v>
      </c>
      <c r="C9" s="86">
        <f>EmbDesemBUS!P103</f>
        <v>46253</v>
      </c>
      <c r="D9" s="86">
        <f t="shared" si="0"/>
        <v>98864</v>
      </c>
    </row>
    <row r="10" spans="1:4" x14ac:dyDescent="0.25">
      <c r="A10" s="190" t="s">
        <v>440</v>
      </c>
      <c r="B10" s="91">
        <f>EmbDesemBUS!N104</f>
        <v>70764</v>
      </c>
      <c r="C10" s="91">
        <f>EmbDesemBUS!P104</f>
        <v>61057</v>
      </c>
      <c r="D10" s="91">
        <f t="shared" si="0"/>
        <v>131821</v>
      </c>
    </row>
    <row r="11" spans="1:4" x14ac:dyDescent="0.25">
      <c r="A11" s="189" t="s">
        <v>438</v>
      </c>
      <c r="B11" s="86">
        <f>EmbDesemBUS!N105</f>
        <v>82416</v>
      </c>
      <c r="C11" s="86">
        <f>EmbDesemBUS!P105</f>
        <v>80977</v>
      </c>
      <c r="D11" s="86">
        <f t="shared" si="0"/>
        <v>163393</v>
      </c>
    </row>
    <row r="12" spans="1:4" x14ac:dyDescent="0.25">
      <c r="A12" s="190" t="s">
        <v>445</v>
      </c>
      <c r="B12" s="91">
        <f>EmbDesemBUS!N106</f>
        <v>109095</v>
      </c>
      <c r="C12" s="91">
        <f>EmbDesemBUS!P106</f>
        <v>112093</v>
      </c>
      <c r="D12" s="91">
        <f t="shared" si="0"/>
        <v>221188</v>
      </c>
    </row>
    <row r="13" spans="1:4" x14ac:dyDescent="0.25">
      <c r="A13" s="189" t="s">
        <v>446</v>
      </c>
      <c r="B13" s="86">
        <f>EmbDesemBUS!N107</f>
        <v>140527</v>
      </c>
      <c r="C13" s="86">
        <f>EmbDesemBUS!P107</f>
        <v>141261</v>
      </c>
      <c r="D13" s="86">
        <f t="shared" si="0"/>
        <v>281788</v>
      </c>
    </row>
    <row r="14" spans="1:4" x14ac:dyDescent="0.25">
      <c r="A14" s="190" t="s">
        <v>447</v>
      </c>
      <c r="B14" s="91">
        <f>EmbDesemBUS!N108</f>
        <v>189732</v>
      </c>
      <c r="C14" s="91">
        <f>EmbDesemBUS!P108</f>
        <v>179097</v>
      </c>
      <c r="D14" s="91">
        <f t="shared" si="0"/>
        <v>368829</v>
      </c>
    </row>
    <row r="15" spans="1:4" x14ac:dyDescent="0.25">
      <c r="A15" s="191" t="s">
        <v>437</v>
      </c>
      <c r="B15" s="86">
        <f>EmbDesemBUS!N109</f>
        <v>174852</v>
      </c>
      <c r="C15" s="86">
        <f>EmbDesemBUS!P109</f>
        <v>177507</v>
      </c>
      <c r="D15" s="86">
        <f t="shared" si="0"/>
        <v>352359</v>
      </c>
    </row>
    <row r="16" spans="1:4" x14ac:dyDescent="0.25">
      <c r="A16" s="190" t="s">
        <v>448</v>
      </c>
      <c r="B16" s="91">
        <f>EmbDesemBUS!N110</f>
        <v>229286</v>
      </c>
      <c r="C16" s="91">
        <f>EmbDesemBUS!P110</f>
        <v>207358</v>
      </c>
      <c r="D16" s="91">
        <f t="shared" si="0"/>
        <v>436644</v>
      </c>
    </row>
    <row r="17" spans="1:4" x14ac:dyDescent="0.25">
      <c r="A17" s="83" t="s">
        <v>294</v>
      </c>
      <c r="B17" s="88">
        <f>SUM(B5:B16)</f>
        <v>2005314</v>
      </c>
      <c r="C17" s="88">
        <f>SUM(C5:C16)</f>
        <v>1985349</v>
      </c>
      <c r="D17" s="88">
        <f>SUM(D5:D16)</f>
        <v>3990663</v>
      </c>
    </row>
    <row r="18" spans="1:4" x14ac:dyDescent="0.25">
      <c r="A18" s="84" t="s">
        <v>296</v>
      </c>
      <c r="B18" s="92">
        <f>B17/12</f>
        <v>167109.5</v>
      </c>
      <c r="C18" s="92">
        <f>C17/12</f>
        <v>165445.75</v>
      </c>
      <c r="D18" s="92">
        <f>D17/12</f>
        <v>332555.25</v>
      </c>
    </row>
    <row r="19" spans="1:4" ht="15.75" thickBot="1" x14ac:dyDescent="0.3">
      <c r="A19" s="85" t="s">
        <v>297</v>
      </c>
      <c r="B19" s="90">
        <f>B17/365</f>
        <v>5494.0109589041094</v>
      </c>
      <c r="C19" s="90">
        <f>C17/365</f>
        <v>5439.3123287671233</v>
      </c>
      <c r="D19" s="90">
        <f>D17/365</f>
        <v>10933.323287671234</v>
      </c>
    </row>
    <row r="21" spans="1:4" x14ac:dyDescent="0.25">
      <c r="A21" s="186" t="s">
        <v>449</v>
      </c>
    </row>
  </sheetData>
  <pageMargins left="0.511811024" right="0.511811024" top="0.78740157499999996" bottom="0.78740157499999996" header="0.31496062000000002" footer="0.3149606200000000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81046-AC5B-4E10-A0B3-09E54FBE8D27}">
  <dimension ref="A1:D21"/>
  <sheetViews>
    <sheetView workbookViewId="0">
      <selection activeCell="A2" sqref="A2"/>
    </sheetView>
  </sheetViews>
  <sheetFormatPr defaultRowHeight="15" x14ac:dyDescent="0.25"/>
  <cols>
    <col min="1" max="1" width="13.5703125" bestFit="1" customWidth="1"/>
    <col min="2" max="2" width="10.85546875" bestFit="1" customWidth="1"/>
    <col min="3" max="3" width="14.42578125" bestFit="1" customWidth="1"/>
  </cols>
  <sheetData>
    <row r="1" spans="1:4" x14ac:dyDescent="0.25">
      <c r="A1" s="78" t="s">
        <v>292</v>
      </c>
      <c r="B1" s="174">
        <v>16</v>
      </c>
      <c r="C1" s="78" t="s">
        <v>533</v>
      </c>
    </row>
    <row r="2" spans="1:4" x14ac:dyDescent="0.25">
      <c r="A2" s="78"/>
      <c r="B2" s="174"/>
      <c r="C2" s="78"/>
    </row>
    <row r="4" spans="1:4" x14ac:dyDescent="0.25">
      <c r="A4" s="79" t="s">
        <v>0</v>
      </c>
      <c r="B4" s="79" t="s">
        <v>1</v>
      </c>
      <c r="C4" s="79" t="s">
        <v>3</v>
      </c>
      <c r="D4" s="79" t="s">
        <v>293</v>
      </c>
    </row>
    <row r="5" spans="1:4" x14ac:dyDescent="0.25">
      <c r="A5" s="189" t="s">
        <v>442</v>
      </c>
      <c r="B5" s="86">
        <f>EmbDesemBUS!M99</f>
        <v>20435</v>
      </c>
      <c r="C5" s="86">
        <f>EmbDesemBUS!O99</f>
        <v>20635</v>
      </c>
      <c r="D5" s="86">
        <f>B5+C5</f>
        <v>41070</v>
      </c>
    </row>
    <row r="6" spans="1:4" x14ac:dyDescent="0.25">
      <c r="A6" s="190" t="s">
        <v>443</v>
      </c>
      <c r="B6" s="91">
        <f>EmbDesemBUS!M100</f>
        <v>18368</v>
      </c>
      <c r="C6" s="91">
        <f>EmbDesemBUS!O100</f>
        <v>18353</v>
      </c>
      <c r="D6" s="91">
        <f t="shared" ref="D6:D16" si="0">B6+C6</f>
        <v>36721</v>
      </c>
    </row>
    <row r="7" spans="1:4" x14ac:dyDescent="0.25">
      <c r="A7" s="189" t="s">
        <v>439</v>
      </c>
      <c r="B7" s="86">
        <f>EmbDesemBUS!M101</f>
        <v>13947</v>
      </c>
      <c r="C7" s="86">
        <f>EmbDesemBUS!O101</f>
        <v>13744</v>
      </c>
      <c r="D7" s="86">
        <f t="shared" si="0"/>
        <v>27691</v>
      </c>
    </row>
    <row r="8" spans="1:4" x14ac:dyDescent="0.25">
      <c r="A8" s="190" t="s">
        <v>444</v>
      </c>
      <c r="B8" s="91">
        <f>EmbDesemBUS!M102</f>
        <v>3616</v>
      </c>
      <c r="C8" s="91">
        <f>EmbDesemBUS!O102</f>
        <v>3243</v>
      </c>
      <c r="D8" s="91">
        <f t="shared" si="0"/>
        <v>6859</v>
      </c>
    </row>
    <row r="9" spans="1:4" x14ac:dyDescent="0.25">
      <c r="A9" s="189" t="s">
        <v>441</v>
      </c>
      <c r="B9" s="86">
        <f>EmbDesemBUS!M103</f>
        <v>4486</v>
      </c>
      <c r="C9" s="86">
        <f>EmbDesemBUS!O103</f>
        <v>3928</v>
      </c>
      <c r="D9" s="86">
        <f t="shared" si="0"/>
        <v>8414</v>
      </c>
    </row>
    <row r="10" spans="1:4" x14ac:dyDescent="0.25">
      <c r="A10" s="190" t="s">
        <v>440</v>
      </c>
      <c r="B10" s="91">
        <f>EmbDesemBUS!M104</f>
        <v>5344</v>
      </c>
      <c r="C10" s="91">
        <f>EmbDesemBUS!O104</f>
        <v>4707</v>
      </c>
      <c r="D10" s="91">
        <f t="shared" si="0"/>
        <v>10051</v>
      </c>
    </row>
    <row r="11" spans="1:4" x14ac:dyDescent="0.25">
      <c r="A11" s="189" t="s">
        <v>438</v>
      </c>
      <c r="B11" s="86">
        <f>EmbDesemBUS!M105</f>
        <v>6306</v>
      </c>
      <c r="C11" s="86">
        <f>EmbDesemBUS!O105</f>
        <v>6292</v>
      </c>
      <c r="D11" s="86">
        <f t="shared" si="0"/>
        <v>12598</v>
      </c>
    </row>
    <row r="12" spans="1:4" x14ac:dyDescent="0.25">
      <c r="A12" s="190" t="s">
        <v>445</v>
      </c>
      <c r="B12" s="91">
        <f>EmbDesemBUS!M106</f>
        <v>7571</v>
      </c>
      <c r="C12" s="91">
        <f>EmbDesemBUS!O106</f>
        <v>7691</v>
      </c>
      <c r="D12" s="91">
        <f t="shared" si="0"/>
        <v>15262</v>
      </c>
    </row>
    <row r="13" spans="1:4" x14ac:dyDescent="0.25">
      <c r="A13" s="189" t="s">
        <v>446</v>
      </c>
      <c r="B13" s="86">
        <f>EmbDesemBUS!M107</f>
        <v>8615</v>
      </c>
      <c r="C13" s="86">
        <f>EmbDesemBUS!O107</f>
        <v>8802</v>
      </c>
      <c r="D13" s="86">
        <f t="shared" si="0"/>
        <v>17417</v>
      </c>
    </row>
    <row r="14" spans="1:4" x14ac:dyDescent="0.25">
      <c r="A14" s="190" t="s">
        <v>447</v>
      </c>
      <c r="B14" s="91">
        <f>EmbDesemBUS!M108</f>
        <v>10752</v>
      </c>
      <c r="C14" s="91">
        <f>EmbDesemBUS!O108</f>
        <v>10547</v>
      </c>
      <c r="D14" s="91">
        <f t="shared" si="0"/>
        <v>21299</v>
      </c>
    </row>
    <row r="15" spans="1:4" x14ac:dyDescent="0.25">
      <c r="A15" s="191" t="s">
        <v>437</v>
      </c>
      <c r="B15" s="86">
        <f>EmbDesemBUS!M109</f>
        <v>10349</v>
      </c>
      <c r="C15" s="86">
        <f>EmbDesemBUS!O109</f>
        <v>10518</v>
      </c>
      <c r="D15" s="86">
        <f t="shared" si="0"/>
        <v>20867</v>
      </c>
    </row>
    <row r="16" spans="1:4" x14ac:dyDescent="0.25">
      <c r="A16" s="190" t="s">
        <v>448</v>
      </c>
      <c r="B16" s="91">
        <f>EmbDesemBUS!M110</f>
        <v>12456</v>
      </c>
      <c r="C16" s="91">
        <f>EmbDesemBUS!O110</f>
        <v>12079</v>
      </c>
      <c r="D16" s="91">
        <f t="shared" si="0"/>
        <v>24535</v>
      </c>
    </row>
    <row r="17" spans="1:4" x14ac:dyDescent="0.25">
      <c r="A17" s="83" t="s">
        <v>294</v>
      </c>
      <c r="B17" s="88">
        <f>SUM(B5:B16)</f>
        <v>122245</v>
      </c>
      <c r="C17" s="88">
        <f>SUM(C5:C16)</f>
        <v>120539</v>
      </c>
      <c r="D17" s="88">
        <f>SUM(D5:D16)</f>
        <v>242784</v>
      </c>
    </row>
    <row r="18" spans="1:4" x14ac:dyDescent="0.25">
      <c r="A18" s="84" t="s">
        <v>296</v>
      </c>
      <c r="B18" s="92">
        <f>B17/12</f>
        <v>10187.083333333334</v>
      </c>
      <c r="C18" s="92">
        <f>C17/12</f>
        <v>10044.916666666666</v>
      </c>
      <c r="D18" s="92">
        <f>D17/12</f>
        <v>20232</v>
      </c>
    </row>
    <row r="19" spans="1:4" ht="15.75" thickBot="1" x14ac:dyDescent="0.3">
      <c r="A19" s="85" t="s">
        <v>297</v>
      </c>
      <c r="B19" s="90">
        <f>B17/365</f>
        <v>334.91780821917808</v>
      </c>
      <c r="C19" s="90">
        <f>C17/365</f>
        <v>330.24383561643833</v>
      </c>
      <c r="D19" s="90">
        <f>D17/365</f>
        <v>665.16164383561647</v>
      </c>
    </row>
    <row r="21" spans="1:4" x14ac:dyDescent="0.25">
      <c r="A21" s="193" t="s">
        <v>449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64B8D-C102-48BD-BAB6-510F9BF3B61D}">
  <dimension ref="A1:H22"/>
  <sheetViews>
    <sheetView zoomScaleNormal="100" workbookViewId="0">
      <selection activeCell="A2" sqref="A2"/>
    </sheetView>
  </sheetViews>
  <sheetFormatPr defaultRowHeight="15" x14ac:dyDescent="0.25"/>
  <cols>
    <col min="1" max="1" width="13.5703125" bestFit="1" customWidth="1"/>
    <col min="2" max="8" width="10.7109375" customWidth="1"/>
  </cols>
  <sheetData>
    <row r="1" spans="1:8" x14ac:dyDescent="0.25">
      <c r="A1" s="78" t="s">
        <v>292</v>
      </c>
      <c r="B1" s="174">
        <v>17</v>
      </c>
      <c r="C1" s="78" t="s">
        <v>534</v>
      </c>
    </row>
    <row r="2" spans="1:8" x14ac:dyDescent="0.25">
      <c r="A2" s="78"/>
      <c r="B2" s="78"/>
      <c r="C2" s="78"/>
    </row>
    <row r="4" spans="1:8" ht="25.5" customHeight="1" x14ac:dyDescent="0.25">
      <c r="A4" s="79" t="s">
        <v>0</v>
      </c>
      <c r="B4" s="262" t="s">
        <v>295</v>
      </c>
      <c r="C4" s="262"/>
      <c r="D4" s="262"/>
      <c r="E4" s="262" t="s">
        <v>544</v>
      </c>
      <c r="F4" s="262"/>
      <c r="G4" s="262"/>
      <c r="H4" s="262"/>
    </row>
    <row r="5" spans="1:8" ht="27.75" customHeight="1" x14ac:dyDescent="0.25">
      <c r="A5" s="79"/>
      <c r="B5" s="79" t="s">
        <v>293</v>
      </c>
      <c r="C5" s="79" t="s">
        <v>312</v>
      </c>
      <c r="D5" s="79" t="s">
        <v>313</v>
      </c>
      <c r="E5" s="79" t="s">
        <v>293</v>
      </c>
      <c r="F5" s="79" t="s">
        <v>23</v>
      </c>
      <c r="G5" s="79" t="s">
        <v>24</v>
      </c>
      <c r="H5" s="79" t="s">
        <v>314</v>
      </c>
    </row>
    <row r="6" spans="1:8" x14ac:dyDescent="0.25">
      <c r="A6" s="80" t="s">
        <v>442</v>
      </c>
      <c r="B6" s="86">
        <f>Estacionamento!G98</f>
        <v>65827</v>
      </c>
      <c r="C6" s="86">
        <f>Estacionamento!F98</f>
        <v>64669</v>
      </c>
      <c r="D6" s="86">
        <f>Estacionamento!D98</f>
        <v>1158</v>
      </c>
      <c r="E6" s="86">
        <f>Sanitários!B98</f>
        <v>80676</v>
      </c>
      <c r="F6" s="86">
        <f>Sanitários!C98</f>
        <v>2812</v>
      </c>
      <c r="G6" s="86">
        <f>Sanitários!D98</f>
        <v>3971</v>
      </c>
      <c r="H6" s="86">
        <f>Sanitários!E98</f>
        <v>73893</v>
      </c>
    </row>
    <row r="7" spans="1:8" x14ac:dyDescent="0.25">
      <c r="A7" s="82" t="s">
        <v>443</v>
      </c>
      <c r="B7" s="87">
        <f>Estacionamento!G99</f>
        <v>44114</v>
      </c>
      <c r="C7" s="87">
        <f>Estacionamento!F99</f>
        <v>43276</v>
      </c>
      <c r="D7" s="87">
        <f>Estacionamento!D99</f>
        <v>838</v>
      </c>
      <c r="E7" s="86">
        <f>Sanitários!B99</f>
        <v>71345</v>
      </c>
      <c r="F7" s="87">
        <f>Sanitários!C99</f>
        <v>2218</v>
      </c>
      <c r="G7" s="87">
        <f>Sanitários!D99</f>
        <v>3063</v>
      </c>
      <c r="H7" s="87">
        <f>Sanitários!E99</f>
        <v>66064</v>
      </c>
    </row>
    <row r="8" spans="1:8" x14ac:dyDescent="0.25">
      <c r="A8" s="80" t="s">
        <v>439</v>
      </c>
      <c r="B8" s="86">
        <f>Estacionamento!G100</f>
        <v>31139</v>
      </c>
      <c r="C8" s="86">
        <f>Estacionamento!F100</f>
        <v>30202</v>
      </c>
      <c r="D8" s="86">
        <f>Estacionamento!D100</f>
        <v>937</v>
      </c>
      <c r="E8" s="86">
        <f>Sanitários!B100</f>
        <v>76442</v>
      </c>
      <c r="F8" s="86">
        <f>Sanitários!C100</f>
        <v>1091</v>
      </c>
      <c r="G8" s="86">
        <f>Sanitários!D100</f>
        <v>1458</v>
      </c>
      <c r="H8" s="86">
        <f>Sanitários!E100</f>
        <v>73893</v>
      </c>
    </row>
    <row r="9" spans="1:8" x14ac:dyDescent="0.25">
      <c r="A9" s="82" t="s">
        <v>444</v>
      </c>
      <c r="B9" s="87">
        <f>Estacionamento!G101</f>
        <v>8937</v>
      </c>
      <c r="C9" s="87">
        <f>Estacionamento!F101</f>
        <v>8487</v>
      </c>
      <c r="D9" s="87">
        <f>Estacionamento!D101</f>
        <v>450</v>
      </c>
      <c r="E9" s="86">
        <f>Sanitários!B101</f>
        <v>17389</v>
      </c>
      <c r="F9" s="87">
        <f>Sanitários!C101</f>
        <v>5649</v>
      </c>
      <c r="G9" s="87">
        <f>Sanitários!D101</f>
        <v>1310</v>
      </c>
      <c r="H9" s="87">
        <f>Sanitários!E101</f>
        <v>10430</v>
      </c>
    </row>
    <row r="10" spans="1:8" x14ac:dyDescent="0.25">
      <c r="A10" s="80" t="s">
        <v>441</v>
      </c>
      <c r="B10" s="86">
        <f>Estacionamento!G102</f>
        <v>13889</v>
      </c>
      <c r="C10" s="86">
        <f>Estacionamento!F102</f>
        <v>13318</v>
      </c>
      <c r="D10" s="86">
        <f>Estacionamento!D102</f>
        <v>571</v>
      </c>
      <c r="E10" s="86">
        <f>Sanitários!B102</f>
        <v>29163</v>
      </c>
      <c r="F10" s="86">
        <f>Sanitários!C102</f>
        <v>12537</v>
      </c>
      <c r="G10" s="86">
        <f>Sanitários!D102</f>
        <v>2570</v>
      </c>
      <c r="H10" s="86">
        <f>Sanitários!E102</f>
        <v>14056</v>
      </c>
    </row>
    <row r="11" spans="1:8" x14ac:dyDescent="0.25">
      <c r="A11" s="82" t="s">
        <v>440</v>
      </c>
      <c r="B11" s="87">
        <f>Estacionamento!G103</f>
        <v>20663</v>
      </c>
      <c r="C11" s="87">
        <f>Estacionamento!F103</f>
        <v>19908</v>
      </c>
      <c r="D11" s="87">
        <f>Estacionamento!D103</f>
        <v>755</v>
      </c>
      <c r="E11" s="86">
        <f>Sanitários!B103</f>
        <v>38311</v>
      </c>
      <c r="F11" s="87">
        <f>Sanitários!C103</f>
        <v>18681</v>
      </c>
      <c r="G11" s="87">
        <f>Sanitários!D103</f>
        <v>3376</v>
      </c>
      <c r="H11" s="87">
        <f>Sanitários!E103</f>
        <v>16254</v>
      </c>
    </row>
    <row r="12" spans="1:8" x14ac:dyDescent="0.25">
      <c r="A12" s="80" t="s">
        <v>438</v>
      </c>
      <c r="B12" s="86">
        <f>Estacionamento!G104</f>
        <v>21117</v>
      </c>
      <c r="C12" s="86">
        <f>Estacionamento!F104</f>
        <v>20399</v>
      </c>
      <c r="D12" s="86">
        <f>Estacionamento!D104</f>
        <v>718</v>
      </c>
      <c r="E12" s="86">
        <f>Sanitários!B104</f>
        <v>24314</v>
      </c>
      <c r="F12" s="86">
        <f>Sanitários!C104</f>
        <v>2968</v>
      </c>
      <c r="G12" s="86">
        <f>Sanitários!D104</f>
        <v>3398</v>
      </c>
      <c r="H12" s="86">
        <f>Sanitários!E104</f>
        <v>17948</v>
      </c>
    </row>
    <row r="13" spans="1:8" x14ac:dyDescent="0.25">
      <c r="A13" s="82" t="s">
        <v>445</v>
      </c>
      <c r="B13" s="87">
        <f>Estacionamento!G105</f>
        <v>27107</v>
      </c>
      <c r="C13" s="87">
        <f>Estacionamento!F105</f>
        <v>26251</v>
      </c>
      <c r="D13" s="87">
        <f>Estacionamento!D105</f>
        <v>856</v>
      </c>
      <c r="E13" s="86">
        <f>Sanitários!B105</f>
        <v>30300</v>
      </c>
      <c r="F13" s="87">
        <f>Sanitários!C105</f>
        <v>1959</v>
      </c>
      <c r="G13" s="87">
        <f>Sanitários!D105</f>
        <v>3814</v>
      </c>
      <c r="H13" s="87">
        <f>Sanitários!E105</f>
        <v>24527</v>
      </c>
    </row>
    <row r="14" spans="1:8" x14ac:dyDescent="0.25">
      <c r="A14" s="80" t="s">
        <v>446</v>
      </c>
      <c r="B14" s="86">
        <f>Estacionamento!G106</f>
        <v>31749</v>
      </c>
      <c r="C14" s="86">
        <f>Estacionamento!F106</f>
        <v>30792</v>
      </c>
      <c r="D14" s="86">
        <f>Estacionamento!D106</f>
        <v>957</v>
      </c>
      <c r="E14" s="86">
        <f>Sanitários!B106</f>
        <v>44525</v>
      </c>
      <c r="F14" s="86">
        <f>Sanitários!C106</f>
        <v>13876</v>
      </c>
      <c r="G14" s="86">
        <f>Sanitários!D106</f>
        <v>3007</v>
      </c>
      <c r="H14" s="86">
        <f>Sanitários!E106</f>
        <v>27642</v>
      </c>
    </row>
    <row r="15" spans="1:8" x14ac:dyDescent="0.25">
      <c r="A15" s="82" t="s">
        <v>447</v>
      </c>
      <c r="B15" s="87">
        <f>Estacionamento!G107</f>
        <v>37678</v>
      </c>
      <c r="C15" s="87">
        <f>Estacionamento!F107</f>
        <v>36743</v>
      </c>
      <c r="D15" s="87">
        <f>Estacionamento!D107</f>
        <v>935</v>
      </c>
      <c r="E15" s="86">
        <f>Sanitários!B107</f>
        <v>60775</v>
      </c>
      <c r="F15" s="87">
        <f>Sanitários!C107</f>
        <v>24752</v>
      </c>
      <c r="G15" s="87">
        <f>Sanitários!D107</f>
        <v>3596</v>
      </c>
      <c r="H15" s="87">
        <f>Sanitários!E107</f>
        <v>32427</v>
      </c>
    </row>
    <row r="16" spans="1:8" x14ac:dyDescent="0.25">
      <c r="A16" s="80" t="s">
        <v>437</v>
      </c>
      <c r="B16" s="86">
        <f>Estacionamento!G108</f>
        <v>35616</v>
      </c>
      <c r="C16" s="86">
        <f>Estacionamento!F108</f>
        <v>34599</v>
      </c>
      <c r="D16" s="86">
        <f>Estacionamento!D108</f>
        <v>1017</v>
      </c>
      <c r="E16" s="86">
        <f>Sanitários!B108</f>
        <v>47495</v>
      </c>
      <c r="F16" s="86">
        <f>Sanitários!C108</f>
        <v>10499</v>
      </c>
      <c r="G16" s="86">
        <f>Sanitários!D108</f>
        <v>3648</v>
      </c>
      <c r="H16" s="86">
        <f>Sanitários!E108</f>
        <v>33348</v>
      </c>
    </row>
    <row r="17" spans="1:8" x14ac:dyDescent="0.25">
      <c r="A17" s="82" t="s">
        <v>448</v>
      </c>
      <c r="B17" s="87">
        <f>Estacionamento!G109</f>
        <v>44111</v>
      </c>
      <c r="C17" s="87">
        <f>Estacionamento!F109</f>
        <v>43005</v>
      </c>
      <c r="D17" s="87">
        <f>Estacionamento!D109</f>
        <v>1106</v>
      </c>
      <c r="E17" s="86">
        <f>Sanitários!B109</f>
        <v>48633</v>
      </c>
      <c r="F17" s="87">
        <f>Sanitários!C109</f>
        <v>4316</v>
      </c>
      <c r="G17" s="87">
        <f>Sanitários!D109</f>
        <v>4009</v>
      </c>
      <c r="H17" s="87">
        <f>Sanitários!E109</f>
        <v>40308</v>
      </c>
    </row>
    <row r="18" spans="1:8" x14ac:dyDescent="0.25">
      <c r="A18" s="83" t="s">
        <v>294</v>
      </c>
      <c r="B18" s="223">
        <f>Estacionamento!G113</f>
        <v>381947</v>
      </c>
      <c r="C18" s="88">
        <f>Estacionamento!F113</f>
        <v>371649</v>
      </c>
      <c r="D18" s="88">
        <f>Estacionamento!D113</f>
        <v>10298</v>
      </c>
      <c r="E18" s="88">
        <f>Sanitários!B113</f>
        <v>569368</v>
      </c>
      <c r="F18" s="88">
        <f>Sanitários!C113</f>
        <v>101358</v>
      </c>
      <c r="G18" s="88">
        <f>Sanitários!D113</f>
        <v>37220</v>
      </c>
      <c r="H18" s="88">
        <f>Sanitários!E113</f>
        <v>430790</v>
      </c>
    </row>
    <row r="19" spans="1:8" x14ac:dyDescent="0.25">
      <c r="A19" s="84" t="s">
        <v>296</v>
      </c>
      <c r="B19" s="89">
        <f>Estacionamento!G117</f>
        <v>31828.916666666668</v>
      </c>
      <c r="C19" s="89">
        <f>Estacionamento!F117</f>
        <v>30970.75</v>
      </c>
      <c r="D19" s="89">
        <f>Estacionamento!D117</f>
        <v>858.16666666666663</v>
      </c>
      <c r="E19" s="89">
        <f>Sanitários!B117</f>
        <v>47447.333333333336</v>
      </c>
      <c r="F19" s="89">
        <f>Sanitários!C117</f>
        <v>8446.5</v>
      </c>
      <c r="G19" s="89">
        <f>Sanitários!D117</f>
        <v>3101.6666666666665</v>
      </c>
      <c r="H19" s="89">
        <f>Sanitários!E117</f>
        <v>35899.166666666664</v>
      </c>
    </row>
    <row r="20" spans="1:8" ht="15.75" thickBot="1" x14ac:dyDescent="0.3">
      <c r="A20" s="85" t="s">
        <v>297</v>
      </c>
      <c r="B20" s="224">
        <f>Estacionamento!G120</f>
        <v>1046.4301369863012</v>
      </c>
      <c r="C20" s="90">
        <f>Estacionamento!F120</f>
        <v>1018.2164383561643</v>
      </c>
      <c r="D20" s="90">
        <f>Estacionamento!D120</f>
        <v>28.213698630136985</v>
      </c>
      <c r="E20" s="90">
        <f>Sanitários!B120</f>
        <v>1559.9123287671232</v>
      </c>
      <c r="F20" s="90">
        <f>Sanitários!C120</f>
        <v>277.69315068493148</v>
      </c>
      <c r="G20" s="90">
        <f>Sanitários!D120</f>
        <v>101.97260273972603</v>
      </c>
      <c r="H20" s="90">
        <f>Sanitários!E120</f>
        <v>1180.2465753424658</v>
      </c>
    </row>
    <row r="22" spans="1:8" x14ac:dyDescent="0.25">
      <c r="A22" s="192" t="s">
        <v>449</v>
      </c>
    </row>
  </sheetData>
  <mergeCells count="2">
    <mergeCell ref="B4:D4"/>
    <mergeCell ref="E4:H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A8CE7-452E-4043-AE29-4D3606BEF24C}">
  <dimension ref="A1:C18"/>
  <sheetViews>
    <sheetView workbookViewId="0"/>
  </sheetViews>
  <sheetFormatPr defaultRowHeight="15" x14ac:dyDescent="0.25"/>
  <sheetData>
    <row r="1" spans="1:3" x14ac:dyDescent="0.25">
      <c r="A1" s="78" t="s">
        <v>299</v>
      </c>
      <c r="B1" s="174">
        <v>5</v>
      </c>
      <c r="C1" s="209" t="s">
        <v>535</v>
      </c>
    </row>
    <row r="2" spans="1:3" x14ac:dyDescent="0.25">
      <c r="A2" s="78"/>
      <c r="B2" s="78"/>
      <c r="C2" s="78"/>
    </row>
    <row r="18" spans="1:1" x14ac:dyDescent="0.25">
      <c r="A18" s="193" t="s">
        <v>450</v>
      </c>
    </row>
  </sheetData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8D83F-9AB3-4A30-9EBC-F9CB9E9F0798}">
  <dimension ref="A1:D35"/>
  <sheetViews>
    <sheetView workbookViewId="0">
      <selection activeCell="A2" sqref="A2"/>
    </sheetView>
  </sheetViews>
  <sheetFormatPr defaultRowHeight="15" x14ac:dyDescent="0.25"/>
  <cols>
    <col min="3" max="3" width="11.28515625" customWidth="1"/>
    <col min="4" max="4" width="13.5703125" customWidth="1"/>
  </cols>
  <sheetData>
    <row r="1" spans="1:4" x14ac:dyDescent="0.25">
      <c r="A1" s="78" t="s">
        <v>292</v>
      </c>
      <c r="B1" s="174">
        <v>18</v>
      </c>
      <c r="C1" s="78" t="s">
        <v>536</v>
      </c>
    </row>
    <row r="2" spans="1:4" x14ac:dyDescent="0.25">
      <c r="A2" s="78"/>
      <c r="B2" s="78"/>
      <c r="C2" s="78"/>
    </row>
    <row r="4" spans="1:4" ht="25.5" x14ac:dyDescent="0.25">
      <c r="A4" s="152" t="s">
        <v>360</v>
      </c>
      <c r="B4" s="152" t="s">
        <v>30</v>
      </c>
      <c r="C4" s="152" t="s">
        <v>358</v>
      </c>
      <c r="D4" s="152" t="s">
        <v>359</v>
      </c>
    </row>
    <row r="5" spans="1:4" x14ac:dyDescent="0.25">
      <c r="A5" s="196">
        <v>0</v>
      </c>
      <c r="B5" s="95">
        <v>2021</v>
      </c>
      <c r="C5" s="188">
        <v>0.22939999999999999</v>
      </c>
      <c r="D5" s="188">
        <v>0.1198</v>
      </c>
    </row>
    <row r="6" spans="1:4" x14ac:dyDescent="0.25">
      <c r="A6" s="161" t="s">
        <v>451</v>
      </c>
      <c r="B6" s="96">
        <v>2022</v>
      </c>
      <c r="C6" s="99">
        <v>0.75663999999999998</v>
      </c>
      <c r="D6" s="99">
        <v>0.92867999999999995</v>
      </c>
    </row>
    <row r="7" spans="1:4" x14ac:dyDescent="0.25">
      <c r="A7" s="160" t="s">
        <v>452</v>
      </c>
      <c r="B7" s="95">
        <v>2023</v>
      </c>
      <c r="C7" s="197">
        <v>-4.0000000000000003E-5</v>
      </c>
      <c r="D7" s="199">
        <v>-2.0000000000000002E-5</v>
      </c>
    </row>
    <row r="8" spans="1:4" x14ac:dyDescent="0.25">
      <c r="A8" s="161" t="s">
        <v>453</v>
      </c>
      <c r="B8" s="96">
        <v>2024</v>
      </c>
      <c r="C8" s="198">
        <v>-4.0000000000000003E-5</v>
      </c>
      <c r="D8" s="198">
        <v>-2.0000000000000002E-5</v>
      </c>
    </row>
    <row r="9" spans="1:4" x14ac:dyDescent="0.25">
      <c r="A9" s="160" t="s">
        <v>454</v>
      </c>
      <c r="B9" s="95">
        <v>2025</v>
      </c>
      <c r="C9" s="199">
        <v>-4.0000000000000003E-5</v>
      </c>
      <c r="D9" s="199">
        <v>-2.0000000000000002E-5</v>
      </c>
    </row>
    <row r="10" spans="1:4" x14ac:dyDescent="0.25">
      <c r="A10" s="161" t="s">
        <v>455</v>
      </c>
      <c r="B10" s="96">
        <v>2026</v>
      </c>
      <c r="C10" s="198">
        <v>-4.0000000000000003E-5</v>
      </c>
      <c r="D10" s="198">
        <v>-2.0000000000000002E-5</v>
      </c>
    </row>
    <row r="11" spans="1:4" x14ac:dyDescent="0.25">
      <c r="A11" s="160" t="s">
        <v>456</v>
      </c>
      <c r="B11" s="95">
        <v>2027</v>
      </c>
      <c r="C11" s="199">
        <v>-4.0000000000000003E-5</v>
      </c>
      <c r="D11" s="199">
        <v>-2.0000000000000002E-5</v>
      </c>
    </row>
    <row r="12" spans="1:4" x14ac:dyDescent="0.25">
      <c r="A12" s="161" t="s">
        <v>457</v>
      </c>
      <c r="B12" s="96">
        <v>2028</v>
      </c>
      <c r="C12" s="198">
        <v>-4.0000000000000003E-5</v>
      </c>
      <c r="D12" s="198">
        <v>-2.0000000000000002E-5</v>
      </c>
    </row>
    <row r="13" spans="1:4" x14ac:dyDescent="0.25">
      <c r="A13" s="160" t="s">
        <v>458</v>
      </c>
      <c r="B13" s="95">
        <v>2029</v>
      </c>
      <c r="C13" s="199">
        <v>-4.0000000000000003E-5</v>
      </c>
      <c r="D13" s="199">
        <v>-2.0000000000000002E-5</v>
      </c>
    </row>
    <row r="14" spans="1:4" x14ac:dyDescent="0.25">
      <c r="A14" s="161" t="s">
        <v>459</v>
      </c>
      <c r="B14" s="96">
        <v>2030</v>
      </c>
      <c r="C14" s="198">
        <v>-4.0000000000000003E-5</v>
      </c>
      <c r="D14" s="198">
        <v>-2.0000000000000002E-5</v>
      </c>
    </row>
    <row r="15" spans="1:4" x14ac:dyDescent="0.25">
      <c r="A15" s="160" t="s">
        <v>460</v>
      </c>
      <c r="B15" s="95">
        <v>2031</v>
      </c>
      <c r="C15" s="199">
        <v>-4.0000000000000003E-5</v>
      </c>
      <c r="D15" s="199">
        <v>-2.0000000000000002E-5</v>
      </c>
    </row>
    <row r="16" spans="1:4" x14ac:dyDescent="0.25">
      <c r="A16" s="161" t="s">
        <v>461</v>
      </c>
      <c r="B16" s="96">
        <v>2032</v>
      </c>
      <c r="C16" s="198">
        <v>-4.0000000000000003E-5</v>
      </c>
      <c r="D16" s="198">
        <v>-2.0000000000000002E-5</v>
      </c>
    </row>
    <row r="17" spans="1:4" x14ac:dyDescent="0.25">
      <c r="A17" s="160" t="s">
        <v>462</v>
      </c>
      <c r="B17" s="95">
        <v>2033</v>
      </c>
      <c r="C17" s="199">
        <v>-4.0000000000000003E-5</v>
      </c>
      <c r="D17" s="199">
        <v>-2.0000000000000002E-5</v>
      </c>
    </row>
    <row r="18" spans="1:4" x14ac:dyDescent="0.25">
      <c r="A18" s="161" t="s">
        <v>463</v>
      </c>
      <c r="B18" s="96">
        <v>2034</v>
      </c>
      <c r="C18" s="198">
        <v>-4.0000000000000003E-5</v>
      </c>
      <c r="D18" s="198">
        <v>-2.0000000000000002E-5</v>
      </c>
    </row>
    <row r="19" spans="1:4" x14ac:dyDescent="0.25">
      <c r="A19" s="160" t="s">
        <v>464</v>
      </c>
      <c r="B19" s="95">
        <v>2035</v>
      </c>
      <c r="C19" s="199">
        <v>-4.0000000000000003E-5</v>
      </c>
      <c r="D19" s="199">
        <v>-2.0000000000000002E-5</v>
      </c>
    </row>
    <row r="20" spans="1:4" x14ac:dyDescent="0.25">
      <c r="A20" s="161" t="s">
        <v>465</v>
      </c>
      <c r="B20" s="96">
        <v>2036</v>
      </c>
      <c r="C20" s="198">
        <v>-4.0000000000000003E-5</v>
      </c>
      <c r="D20" s="198">
        <v>-2.0000000000000002E-5</v>
      </c>
    </row>
    <row r="21" spans="1:4" x14ac:dyDescent="0.25">
      <c r="A21" s="160" t="s">
        <v>466</v>
      </c>
      <c r="B21" s="95">
        <v>2037</v>
      </c>
      <c r="C21" s="199">
        <v>-4.0000000000000003E-5</v>
      </c>
      <c r="D21" s="199">
        <v>-2.0000000000000002E-5</v>
      </c>
    </row>
    <row r="22" spans="1:4" x14ac:dyDescent="0.25">
      <c r="A22" s="161" t="s">
        <v>467</v>
      </c>
      <c r="B22" s="96">
        <v>2038</v>
      </c>
      <c r="C22" s="198">
        <v>-4.0000000000000003E-5</v>
      </c>
      <c r="D22" s="198">
        <v>-2.0000000000000002E-5</v>
      </c>
    </row>
    <row r="23" spans="1:4" x14ac:dyDescent="0.25">
      <c r="A23" s="160" t="s">
        <v>468</v>
      </c>
      <c r="B23" s="95">
        <v>2039</v>
      </c>
      <c r="C23" s="199">
        <v>-4.0000000000000003E-5</v>
      </c>
      <c r="D23" s="199">
        <v>-2.0000000000000002E-5</v>
      </c>
    </row>
    <row r="24" spans="1:4" x14ac:dyDescent="0.25">
      <c r="A24" s="161" t="s">
        <v>469</v>
      </c>
      <c r="B24" s="96">
        <v>2040</v>
      </c>
      <c r="C24" s="198">
        <v>-4.0000000000000003E-5</v>
      </c>
      <c r="D24" s="198">
        <v>-2.0000000000000002E-5</v>
      </c>
    </row>
    <row r="25" spans="1:4" x14ac:dyDescent="0.25">
      <c r="A25" s="160" t="s">
        <v>470</v>
      </c>
      <c r="B25" s="95">
        <v>2041</v>
      </c>
      <c r="C25" s="199">
        <v>-4.0000000000000003E-5</v>
      </c>
      <c r="D25" s="199">
        <v>-2.0000000000000002E-5</v>
      </c>
    </row>
    <row r="26" spans="1:4" x14ac:dyDescent="0.25">
      <c r="A26" s="161" t="s">
        <v>471</v>
      </c>
      <c r="B26" s="96">
        <v>2042</v>
      </c>
      <c r="C26" s="198">
        <v>-4.0000000000000003E-5</v>
      </c>
      <c r="D26" s="198">
        <v>-2.0000000000000002E-5</v>
      </c>
    </row>
    <row r="27" spans="1:4" x14ac:dyDescent="0.25">
      <c r="A27" s="160" t="s">
        <v>472</v>
      </c>
      <c r="B27" s="95">
        <v>2043</v>
      </c>
      <c r="C27" s="199">
        <v>-4.0000000000000003E-5</v>
      </c>
      <c r="D27" s="199">
        <v>-2.0000000000000002E-5</v>
      </c>
    </row>
    <row r="28" spans="1:4" x14ac:dyDescent="0.25">
      <c r="A28" s="161" t="s">
        <v>473</v>
      </c>
      <c r="B28" s="96">
        <v>2044</v>
      </c>
      <c r="C28" s="198">
        <v>-4.0000000000000003E-5</v>
      </c>
      <c r="D28" s="198">
        <v>-2.0000000000000002E-5</v>
      </c>
    </row>
    <row r="29" spans="1:4" x14ac:dyDescent="0.25">
      <c r="A29" s="160" t="s">
        <v>474</v>
      </c>
      <c r="B29" s="95">
        <v>2045</v>
      </c>
      <c r="C29" s="199">
        <v>-4.0000000000000003E-5</v>
      </c>
      <c r="D29" s="199">
        <v>-2.0000000000000002E-5</v>
      </c>
    </row>
    <row r="30" spans="1:4" x14ac:dyDescent="0.25">
      <c r="A30" s="161" t="s">
        <v>475</v>
      </c>
      <c r="B30" s="96">
        <v>2046</v>
      </c>
      <c r="C30" s="198">
        <v>-4.0000000000000003E-5</v>
      </c>
      <c r="D30" s="198">
        <v>-2.0000000000000002E-5</v>
      </c>
    </row>
    <row r="31" spans="1:4" x14ac:dyDescent="0.25">
      <c r="A31" s="160" t="s">
        <v>476</v>
      </c>
      <c r="B31" s="95">
        <v>2047</v>
      </c>
      <c r="C31" s="199">
        <v>-4.0000000000000003E-5</v>
      </c>
      <c r="D31" s="199">
        <v>-2.0000000000000002E-5</v>
      </c>
    </row>
    <row r="32" spans="1:4" x14ac:dyDescent="0.25">
      <c r="A32" s="161" t="s">
        <v>477</v>
      </c>
      <c r="B32" s="96">
        <v>2048</v>
      </c>
      <c r="C32" s="198">
        <v>-4.0000000000000003E-5</v>
      </c>
      <c r="D32" s="198">
        <v>-2.0000000000000002E-5</v>
      </c>
    </row>
    <row r="33" spans="1:4" x14ac:dyDescent="0.25">
      <c r="A33" s="160" t="s">
        <v>478</v>
      </c>
      <c r="B33" s="95">
        <v>2049</v>
      </c>
      <c r="C33" s="199">
        <v>-4.0000000000000003E-5</v>
      </c>
      <c r="D33" s="199">
        <v>-2.0000000000000002E-5</v>
      </c>
    </row>
    <row r="34" spans="1:4" x14ac:dyDescent="0.25">
      <c r="A34" s="161" t="s">
        <v>479</v>
      </c>
      <c r="B34" s="96">
        <v>2050</v>
      </c>
      <c r="C34" s="198">
        <v>-4.0000000000000003E-5</v>
      </c>
      <c r="D34" s="198">
        <v>-2.0000000000000002E-5</v>
      </c>
    </row>
    <row r="35" spans="1:4" ht="15.75" thickBot="1" x14ac:dyDescent="0.3">
      <c r="A35" s="194" t="s">
        <v>480</v>
      </c>
      <c r="B35" s="165">
        <v>2051</v>
      </c>
      <c r="C35" s="200">
        <v>-4.0000000000000003E-5</v>
      </c>
      <c r="D35" s="200">
        <v>-2.0000000000000002E-5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207B2-5844-40DF-B65D-BFC5C6B81056}">
  <dimension ref="A1:L44"/>
  <sheetViews>
    <sheetView zoomScale="90" zoomScaleNormal="90" workbookViewId="0"/>
  </sheetViews>
  <sheetFormatPr defaultRowHeight="15" x14ac:dyDescent="0.25"/>
  <cols>
    <col min="2" max="2" width="13.5703125" bestFit="1" customWidth="1"/>
    <col min="3" max="3" width="13.5703125" customWidth="1"/>
    <col min="4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78">
        <v>19</v>
      </c>
      <c r="C1" s="78" t="s">
        <v>553</v>
      </c>
    </row>
    <row r="2" spans="1:12" x14ac:dyDescent="0.25">
      <c r="A2" s="78" t="s">
        <v>299</v>
      </c>
      <c r="B2" s="78">
        <v>6</v>
      </c>
      <c r="C2" s="78" t="s">
        <v>553</v>
      </c>
    </row>
    <row r="4" spans="1:12" ht="25.5" x14ac:dyDescent="0.25">
      <c r="A4" s="112" t="s">
        <v>360</v>
      </c>
      <c r="B4" s="112" t="s">
        <v>30</v>
      </c>
      <c r="C4" s="112" t="s">
        <v>324</v>
      </c>
      <c r="D4" s="146" t="s">
        <v>358</v>
      </c>
      <c r="E4" s="146" t="s">
        <v>359</v>
      </c>
    </row>
    <row r="5" spans="1:12" x14ac:dyDescent="0.25">
      <c r="A5" s="107"/>
      <c r="B5" s="105">
        <v>2012</v>
      </c>
      <c r="C5" s="87">
        <f>'Tabela 1'!B6</f>
        <v>10447699</v>
      </c>
      <c r="D5" s="87"/>
      <c r="E5" s="87"/>
      <c r="F5" s="5"/>
    </row>
    <row r="6" spans="1:12" x14ac:dyDescent="0.25">
      <c r="A6" s="106"/>
      <c r="B6" s="104">
        <v>2013</v>
      </c>
      <c r="C6" s="86">
        <f>'Tabela 1'!B7</f>
        <v>10127310</v>
      </c>
      <c r="D6" s="86"/>
      <c r="E6" s="86"/>
      <c r="F6" s="5"/>
      <c r="J6" s="5"/>
      <c r="K6" s="5"/>
      <c r="L6" s="5"/>
    </row>
    <row r="7" spans="1:12" x14ac:dyDescent="0.25">
      <c r="A7" s="107"/>
      <c r="B7" s="105">
        <v>2014</v>
      </c>
      <c r="C7" s="87">
        <f>'Tabela 1'!B8</f>
        <v>9939449</v>
      </c>
      <c r="D7" s="87"/>
      <c r="E7" s="87"/>
      <c r="G7" s="5"/>
      <c r="H7" s="5"/>
      <c r="I7" s="5"/>
      <c r="J7" s="5"/>
      <c r="K7" s="5"/>
      <c r="L7" s="5"/>
    </row>
    <row r="8" spans="1:12" x14ac:dyDescent="0.25">
      <c r="A8" s="106"/>
      <c r="B8" s="104">
        <v>2015</v>
      </c>
      <c r="C8" s="86">
        <f>'Tabela 1'!B9</f>
        <v>9307236</v>
      </c>
      <c r="D8" s="86"/>
      <c r="E8" s="86"/>
      <c r="G8" s="5"/>
      <c r="H8" s="5"/>
      <c r="I8" s="5"/>
      <c r="J8" s="5"/>
      <c r="K8" s="5"/>
      <c r="L8" s="5"/>
    </row>
    <row r="9" spans="1:12" x14ac:dyDescent="0.25">
      <c r="A9" s="107"/>
      <c r="B9" s="105">
        <v>2016</v>
      </c>
      <c r="C9" s="87">
        <f>'Tabela 1'!B10</f>
        <v>8267146</v>
      </c>
      <c r="D9" s="87"/>
      <c r="E9" s="87"/>
    </row>
    <row r="10" spans="1:12" x14ac:dyDescent="0.25">
      <c r="A10" s="106"/>
      <c r="B10" s="104">
        <v>2017</v>
      </c>
      <c r="C10" s="86">
        <f>'Tabela 1'!B11</f>
        <v>8027037</v>
      </c>
      <c r="D10" s="86"/>
      <c r="E10" s="86"/>
    </row>
    <row r="11" spans="1:12" x14ac:dyDescent="0.25">
      <c r="A11" s="107"/>
      <c r="B11" s="105">
        <v>2018</v>
      </c>
      <c r="C11" s="87">
        <f>'Tabela 1'!B12</f>
        <v>8372758</v>
      </c>
      <c r="D11" s="87"/>
      <c r="E11" s="87"/>
    </row>
    <row r="12" spans="1:12" x14ac:dyDescent="0.25">
      <c r="A12" s="106"/>
      <c r="B12" s="104">
        <v>2019</v>
      </c>
      <c r="C12" s="86">
        <f>'Tabela 1'!B13</f>
        <v>8619332</v>
      </c>
      <c r="D12" s="86"/>
      <c r="E12" s="86"/>
    </row>
    <row r="13" spans="1:12" x14ac:dyDescent="0.25">
      <c r="A13" s="107"/>
      <c r="B13" s="105">
        <v>2020</v>
      </c>
      <c r="C13" s="87">
        <f>'Tabela 1'!B14</f>
        <v>3990663</v>
      </c>
      <c r="D13" s="87">
        <v>3990663</v>
      </c>
      <c r="E13" s="87">
        <f>D13</f>
        <v>3990663</v>
      </c>
    </row>
    <row r="14" spans="1:12" x14ac:dyDescent="0.25">
      <c r="A14" s="106">
        <v>0</v>
      </c>
      <c r="B14" s="104">
        <v>2021</v>
      </c>
      <c r="C14" s="104"/>
      <c r="D14" s="147">
        <v>4906113</v>
      </c>
      <c r="E14" s="147">
        <v>4468738</v>
      </c>
    </row>
    <row r="15" spans="1:12" x14ac:dyDescent="0.25">
      <c r="A15" s="107">
        <f>A14+1</f>
        <v>1</v>
      </c>
      <c r="B15" s="105">
        <v>2022</v>
      </c>
      <c r="C15" s="105"/>
      <c r="D15" s="91">
        <v>8618252</v>
      </c>
      <c r="E15" s="91">
        <v>8618747</v>
      </c>
    </row>
    <row r="16" spans="1:12" x14ac:dyDescent="0.25">
      <c r="A16" s="106">
        <f t="shared" ref="A16:A44" si="0">A15+1</f>
        <v>2</v>
      </c>
      <c r="B16" s="104">
        <v>2023</v>
      </c>
      <c r="C16" s="104"/>
      <c r="D16" s="147">
        <v>8617892</v>
      </c>
      <c r="E16" s="147">
        <v>8618552</v>
      </c>
    </row>
    <row r="17" spans="1:5" x14ac:dyDescent="0.25">
      <c r="A17" s="107">
        <f t="shared" si="0"/>
        <v>3</v>
      </c>
      <c r="B17" s="105">
        <v>2024</v>
      </c>
      <c r="C17" s="105"/>
      <c r="D17" s="91">
        <v>8617532</v>
      </c>
      <c r="E17" s="91">
        <v>8618357</v>
      </c>
    </row>
    <row r="18" spans="1:5" x14ac:dyDescent="0.25">
      <c r="A18" s="106">
        <f t="shared" si="0"/>
        <v>4</v>
      </c>
      <c r="B18" s="104">
        <v>2025</v>
      </c>
      <c r="C18" s="104"/>
      <c r="D18" s="147">
        <v>8617172</v>
      </c>
      <c r="E18" s="147">
        <v>8618162</v>
      </c>
    </row>
    <row r="19" spans="1:5" x14ac:dyDescent="0.25">
      <c r="A19" s="107">
        <f t="shared" si="0"/>
        <v>5</v>
      </c>
      <c r="B19" s="105">
        <v>2026</v>
      </c>
      <c r="C19" s="105"/>
      <c r="D19" s="91">
        <v>8616812</v>
      </c>
      <c r="E19" s="91">
        <v>8617968</v>
      </c>
    </row>
    <row r="20" spans="1:5" x14ac:dyDescent="0.25">
      <c r="A20" s="106">
        <f t="shared" si="0"/>
        <v>6</v>
      </c>
      <c r="B20" s="104">
        <v>2027</v>
      </c>
      <c r="C20" s="104"/>
      <c r="D20" s="147">
        <v>8616452</v>
      </c>
      <c r="E20" s="147">
        <v>8617773</v>
      </c>
    </row>
    <row r="21" spans="1:5" x14ac:dyDescent="0.25">
      <c r="A21" s="107">
        <f t="shared" si="0"/>
        <v>7</v>
      </c>
      <c r="B21" s="105">
        <v>2028</v>
      </c>
      <c r="C21" s="105"/>
      <c r="D21" s="91">
        <v>8616092</v>
      </c>
      <c r="E21" s="91">
        <v>8617578</v>
      </c>
    </row>
    <row r="22" spans="1:5" x14ac:dyDescent="0.25">
      <c r="A22" s="106">
        <f t="shared" si="0"/>
        <v>8</v>
      </c>
      <c r="B22" s="104">
        <v>2029</v>
      </c>
      <c r="C22" s="104"/>
      <c r="D22" s="147">
        <v>8615732</v>
      </c>
      <c r="E22" s="147">
        <v>8617383</v>
      </c>
    </row>
    <row r="23" spans="1:5" x14ac:dyDescent="0.25">
      <c r="A23" s="107">
        <f t="shared" si="0"/>
        <v>9</v>
      </c>
      <c r="B23" s="105">
        <v>2030</v>
      </c>
      <c r="C23" s="105"/>
      <c r="D23" s="91">
        <v>8615372</v>
      </c>
      <c r="E23" s="91">
        <v>8617188</v>
      </c>
    </row>
    <row r="24" spans="1:5" x14ac:dyDescent="0.25">
      <c r="A24" s="106">
        <f t="shared" si="0"/>
        <v>10</v>
      </c>
      <c r="B24" s="104">
        <v>2031</v>
      </c>
      <c r="C24" s="104"/>
      <c r="D24" s="147">
        <v>8615012</v>
      </c>
      <c r="E24" s="147">
        <v>8616993</v>
      </c>
    </row>
    <row r="25" spans="1:5" x14ac:dyDescent="0.25">
      <c r="A25" s="107">
        <f t="shared" si="0"/>
        <v>11</v>
      </c>
      <c r="B25" s="105">
        <v>2032</v>
      </c>
      <c r="C25" s="105"/>
      <c r="D25" s="91">
        <v>8614653</v>
      </c>
      <c r="E25" s="91">
        <v>8616798</v>
      </c>
    </row>
    <row r="26" spans="1:5" x14ac:dyDescent="0.25">
      <c r="A26" s="106">
        <f t="shared" si="0"/>
        <v>12</v>
      </c>
      <c r="B26" s="104">
        <v>2033</v>
      </c>
      <c r="C26" s="104"/>
      <c r="D26" s="147">
        <v>8614293</v>
      </c>
      <c r="E26" s="147">
        <v>8616603</v>
      </c>
    </row>
    <row r="27" spans="1:5" x14ac:dyDescent="0.25">
      <c r="A27" s="107">
        <f t="shared" si="0"/>
        <v>13</v>
      </c>
      <c r="B27" s="105">
        <v>2034</v>
      </c>
      <c r="C27" s="105"/>
      <c r="D27" s="91">
        <v>8613933</v>
      </c>
      <c r="E27" s="91">
        <v>8616408</v>
      </c>
    </row>
    <row r="28" spans="1:5" x14ac:dyDescent="0.25">
      <c r="A28" s="106">
        <f t="shared" si="0"/>
        <v>14</v>
      </c>
      <c r="B28" s="104">
        <v>2035</v>
      </c>
      <c r="C28" s="104"/>
      <c r="D28" s="147">
        <v>8613573</v>
      </c>
      <c r="E28" s="147">
        <v>8616214</v>
      </c>
    </row>
    <row r="29" spans="1:5" x14ac:dyDescent="0.25">
      <c r="A29" s="107">
        <f t="shared" si="0"/>
        <v>15</v>
      </c>
      <c r="B29" s="105">
        <v>2036</v>
      </c>
      <c r="C29" s="105"/>
      <c r="D29" s="91">
        <v>8613213</v>
      </c>
      <c r="E29" s="91">
        <v>8616019</v>
      </c>
    </row>
    <row r="30" spans="1:5" x14ac:dyDescent="0.25">
      <c r="A30" s="106">
        <f t="shared" si="0"/>
        <v>16</v>
      </c>
      <c r="B30" s="104">
        <v>2037</v>
      </c>
      <c r="C30" s="104"/>
      <c r="D30" s="147">
        <v>8612853</v>
      </c>
      <c r="E30" s="147">
        <v>8615824</v>
      </c>
    </row>
    <row r="31" spans="1:5" x14ac:dyDescent="0.25">
      <c r="A31" s="107">
        <f t="shared" si="0"/>
        <v>17</v>
      </c>
      <c r="B31" s="105">
        <v>2038</v>
      </c>
      <c r="C31" s="105"/>
      <c r="D31" s="91">
        <v>8612494</v>
      </c>
      <c r="E31" s="91">
        <v>8615629</v>
      </c>
    </row>
    <row r="32" spans="1:5" x14ac:dyDescent="0.25">
      <c r="A32" s="106">
        <f t="shared" si="0"/>
        <v>18</v>
      </c>
      <c r="B32" s="104">
        <v>2039</v>
      </c>
      <c r="C32" s="104"/>
      <c r="D32" s="147">
        <v>8612134</v>
      </c>
      <c r="E32" s="147">
        <v>8615434</v>
      </c>
    </row>
    <row r="33" spans="1:5" x14ac:dyDescent="0.25">
      <c r="A33" s="107">
        <f t="shared" si="0"/>
        <v>19</v>
      </c>
      <c r="B33" s="105">
        <v>2040</v>
      </c>
      <c r="C33" s="105"/>
      <c r="D33" s="91">
        <v>8611774</v>
      </c>
      <c r="E33" s="91">
        <v>8615239</v>
      </c>
    </row>
    <row r="34" spans="1:5" x14ac:dyDescent="0.25">
      <c r="A34" s="106">
        <f t="shared" si="0"/>
        <v>20</v>
      </c>
      <c r="B34" s="104">
        <v>2041</v>
      </c>
      <c r="C34" s="104"/>
      <c r="D34" s="147">
        <v>8611414</v>
      </c>
      <c r="E34" s="147">
        <v>8615044</v>
      </c>
    </row>
    <row r="35" spans="1:5" x14ac:dyDescent="0.25">
      <c r="A35" s="107">
        <f t="shared" si="0"/>
        <v>21</v>
      </c>
      <c r="B35" s="105">
        <v>2042</v>
      </c>
      <c r="C35" s="105"/>
      <c r="D35" s="91">
        <v>8611055</v>
      </c>
      <c r="E35" s="91">
        <v>8614850</v>
      </c>
    </row>
    <row r="36" spans="1:5" x14ac:dyDescent="0.25">
      <c r="A36" s="106">
        <f t="shared" si="0"/>
        <v>22</v>
      </c>
      <c r="B36" s="104">
        <v>2043</v>
      </c>
      <c r="C36" s="104"/>
      <c r="D36" s="147">
        <v>8610695</v>
      </c>
      <c r="E36" s="147">
        <v>8614655</v>
      </c>
    </row>
    <row r="37" spans="1:5" x14ac:dyDescent="0.25">
      <c r="A37" s="107">
        <f t="shared" si="0"/>
        <v>23</v>
      </c>
      <c r="B37" s="105">
        <v>2044</v>
      </c>
      <c r="C37" s="105"/>
      <c r="D37" s="91">
        <v>8610335</v>
      </c>
      <c r="E37" s="91">
        <v>8614460</v>
      </c>
    </row>
    <row r="38" spans="1:5" x14ac:dyDescent="0.25">
      <c r="A38" s="106">
        <f t="shared" si="0"/>
        <v>24</v>
      </c>
      <c r="B38" s="104">
        <v>2045</v>
      </c>
      <c r="C38" s="104"/>
      <c r="D38" s="147">
        <v>8609976</v>
      </c>
      <c r="E38" s="147">
        <v>8614265</v>
      </c>
    </row>
    <row r="39" spans="1:5" x14ac:dyDescent="0.25">
      <c r="A39" s="107">
        <f t="shared" si="0"/>
        <v>25</v>
      </c>
      <c r="B39" s="105">
        <v>2046</v>
      </c>
      <c r="C39" s="105"/>
      <c r="D39" s="91">
        <v>8609616</v>
      </c>
      <c r="E39" s="91">
        <v>8614070</v>
      </c>
    </row>
    <row r="40" spans="1:5" x14ac:dyDescent="0.25">
      <c r="A40" s="106">
        <f t="shared" si="0"/>
        <v>26</v>
      </c>
      <c r="B40" s="104">
        <v>2047</v>
      </c>
      <c r="C40" s="104"/>
      <c r="D40" s="147">
        <v>8609256</v>
      </c>
      <c r="E40" s="147">
        <v>8613876</v>
      </c>
    </row>
    <row r="41" spans="1:5" x14ac:dyDescent="0.25">
      <c r="A41" s="107">
        <f t="shared" si="0"/>
        <v>27</v>
      </c>
      <c r="B41" s="105">
        <v>2048</v>
      </c>
      <c r="C41" s="105"/>
      <c r="D41" s="91">
        <v>8608897</v>
      </c>
      <c r="E41" s="91">
        <v>8613681</v>
      </c>
    </row>
    <row r="42" spans="1:5" x14ac:dyDescent="0.25">
      <c r="A42" s="106">
        <f t="shared" si="0"/>
        <v>28</v>
      </c>
      <c r="B42" s="104">
        <v>2049</v>
      </c>
      <c r="C42" s="104"/>
      <c r="D42" s="147">
        <v>8608537</v>
      </c>
      <c r="E42" s="147">
        <v>8613486</v>
      </c>
    </row>
    <row r="43" spans="1:5" x14ac:dyDescent="0.25">
      <c r="A43" s="107">
        <f t="shared" si="0"/>
        <v>29</v>
      </c>
      <c r="B43" s="105">
        <v>2050</v>
      </c>
      <c r="C43" s="105"/>
      <c r="D43" s="91">
        <v>8608178</v>
      </c>
      <c r="E43" s="91">
        <v>8613291</v>
      </c>
    </row>
    <row r="44" spans="1:5" ht="15.75" thickBot="1" x14ac:dyDescent="0.3">
      <c r="A44" s="201">
        <f t="shared" si="0"/>
        <v>30</v>
      </c>
      <c r="B44" s="202">
        <v>2051</v>
      </c>
      <c r="C44" s="202"/>
      <c r="D44" s="148">
        <v>8607818</v>
      </c>
      <c r="E44" s="148">
        <v>8613096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FDDCE-1996-4069-BDD2-7CAF87BE90BD}">
  <dimension ref="A1:O46"/>
  <sheetViews>
    <sheetView zoomScale="85" zoomScaleNormal="85" workbookViewId="0"/>
  </sheetViews>
  <sheetFormatPr defaultRowHeight="15" x14ac:dyDescent="0.25"/>
  <cols>
    <col min="2" max="2" width="13.5703125" bestFit="1" customWidth="1"/>
    <col min="3" max="3" width="13.5703125" customWidth="1"/>
    <col min="4" max="4" width="17.42578125" customWidth="1"/>
    <col min="5" max="5" width="14.42578125" bestFit="1" customWidth="1"/>
    <col min="6" max="8" width="15" customWidth="1"/>
    <col min="11" max="11" width="12.42578125" customWidth="1"/>
    <col min="12" max="12" width="11.7109375" customWidth="1"/>
  </cols>
  <sheetData>
    <row r="1" spans="1:15" x14ac:dyDescent="0.25">
      <c r="A1" s="78" t="s">
        <v>292</v>
      </c>
      <c r="B1" s="78">
        <v>19</v>
      </c>
      <c r="C1" s="78" t="s">
        <v>553</v>
      </c>
    </row>
    <row r="2" spans="1:15" x14ac:dyDescent="0.25">
      <c r="A2" s="78" t="s">
        <v>299</v>
      </c>
      <c r="B2" s="78">
        <v>6</v>
      </c>
      <c r="C2" s="78" t="s">
        <v>553</v>
      </c>
    </row>
    <row r="4" spans="1:15" ht="25.5" x14ac:dyDescent="0.25">
      <c r="A4" s="230" t="s">
        <v>360</v>
      </c>
      <c r="B4" s="230" t="s">
        <v>30</v>
      </c>
      <c r="C4" s="230" t="s">
        <v>324</v>
      </c>
      <c r="D4" s="230" t="s">
        <v>304</v>
      </c>
      <c r="E4" s="230" t="s">
        <v>323</v>
      </c>
      <c r="F4" s="230" t="s">
        <v>305</v>
      </c>
      <c r="G4" s="230" t="s">
        <v>358</v>
      </c>
      <c r="H4" s="230" t="s">
        <v>359</v>
      </c>
    </row>
    <row r="5" spans="1:15" x14ac:dyDescent="0.25">
      <c r="A5" s="107"/>
      <c r="B5" s="105">
        <v>2012</v>
      </c>
      <c r="C5" s="87">
        <f>'Tabela 1'!B6</f>
        <v>10447699</v>
      </c>
      <c r="D5" s="87"/>
      <c r="E5" s="87"/>
      <c r="F5" s="87"/>
      <c r="G5" s="87"/>
      <c r="H5" s="87"/>
      <c r="I5" s="5"/>
    </row>
    <row r="6" spans="1:15" x14ac:dyDescent="0.25">
      <c r="A6" s="106"/>
      <c r="B6" s="104">
        <v>2013</v>
      </c>
      <c r="C6" s="86">
        <f>'Tabela 1'!B7</f>
        <v>10127310</v>
      </c>
      <c r="D6" s="86"/>
      <c r="E6" s="86"/>
      <c r="F6" s="86"/>
      <c r="G6" s="86"/>
      <c r="H6" s="86"/>
      <c r="I6" s="5"/>
      <c r="M6" s="5"/>
      <c r="N6" s="5"/>
      <c r="O6" s="5"/>
    </row>
    <row r="7" spans="1:15" x14ac:dyDescent="0.25">
      <c r="A7" s="107"/>
      <c r="B7" s="105">
        <v>2014</v>
      </c>
      <c r="C7" s="87">
        <f>'Tabela 1'!B8</f>
        <v>9939449</v>
      </c>
      <c r="D7" s="87"/>
      <c r="E7" s="87"/>
      <c r="F7" s="87"/>
      <c r="G7" s="87"/>
      <c r="H7" s="87"/>
      <c r="J7" s="5"/>
      <c r="K7" s="5"/>
      <c r="L7" s="5"/>
      <c r="M7" s="5"/>
      <c r="N7" s="5"/>
      <c r="O7" s="5"/>
    </row>
    <row r="8" spans="1:15" x14ac:dyDescent="0.25">
      <c r="A8" s="106"/>
      <c r="B8" s="104">
        <v>2015</v>
      </c>
      <c r="C8" s="86">
        <f>'Tabela 1'!B9</f>
        <v>9307236</v>
      </c>
      <c r="D8" s="86"/>
      <c r="E8" s="86"/>
      <c r="F8" s="86"/>
      <c r="G8" s="86"/>
      <c r="H8" s="86"/>
      <c r="J8" s="5"/>
      <c r="K8" s="5"/>
      <c r="L8" s="5"/>
      <c r="M8" s="5"/>
      <c r="N8" s="5"/>
      <c r="O8" s="5"/>
    </row>
    <row r="9" spans="1:15" x14ac:dyDescent="0.25">
      <c r="A9" s="107"/>
      <c r="B9" s="105">
        <v>2016</v>
      </c>
      <c r="C9" s="87">
        <f>'Tabela 1'!B10</f>
        <v>8267146</v>
      </c>
      <c r="D9" s="87"/>
      <c r="E9" s="87"/>
      <c r="F9" s="87"/>
      <c r="G9" s="87"/>
      <c r="H9" s="87"/>
    </row>
    <row r="10" spans="1:15" x14ac:dyDescent="0.25">
      <c r="A10" s="106"/>
      <c r="B10" s="104">
        <v>2017</v>
      </c>
      <c r="C10" s="86">
        <f>'Tabela 1'!B11</f>
        <v>8027037</v>
      </c>
      <c r="D10" s="86"/>
      <c r="E10" s="86"/>
      <c r="F10" s="86"/>
      <c r="G10" s="86"/>
      <c r="H10" s="86"/>
    </row>
    <row r="11" spans="1:15" x14ac:dyDescent="0.25">
      <c r="A11" s="107"/>
      <c r="B11" s="105">
        <v>2018</v>
      </c>
      <c r="C11" s="87">
        <f>'Tabela 1'!B12</f>
        <v>8372758</v>
      </c>
      <c r="D11" s="87"/>
      <c r="E11" s="87"/>
      <c r="F11" s="87"/>
      <c r="G11" s="87"/>
      <c r="H11" s="87"/>
    </row>
    <row r="12" spans="1:15" x14ac:dyDescent="0.25">
      <c r="A12" s="106"/>
      <c r="B12" s="104">
        <v>2019</v>
      </c>
      <c r="C12" s="86">
        <f>'Tabela 1'!B13</f>
        <v>8619332</v>
      </c>
      <c r="D12" s="86"/>
      <c r="E12" s="86"/>
      <c r="F12" s="86"/>
      <c r="G12" s="86"/>
      <c r="H12" s="86"/>
    </row>
    <row r="13" spans="1:15" x14ac:dyDescent="0.25">
      <c r="A13" s="107"/>
      <c r="B13" s="105">
        <v>2020</v>
      </c>
      <c r="C13" s="87">
        <f>'Tabela 1'!B14</f>
        <v>3990663</v>
      </c>
      <c r="D13" s="87">
        <f>C13</f>
        <v>3990663</v>
      </c>
      <c r="E13" s="87">
        <f>C13</f>
        <v>3990663</v>
      </c>
      <c r="F13" s="87">
        <f>C13</f>
        <v>3990663</v>
      </c>
      <c r="G13" s="87">
        <f>F13</f>
        <v>3990663</v>
      </c>
      <c r="H13" s="87">
        <f>G13</f>
        <v>3990663</v>
      </c>
    </row>
    <row r="14" spans="1:15" x14ac:dyDescent="0.25">
      <c r="A14" s="106">
        <v>0</v>
      </c>
      <c r="B14" s="104">
        <v>2021</v>
      </c>
      <c r="C14" s="104"/>
      <c r="D14" s="86">
        <f>Emb_Desemb_Conc_CP!E5</f>
        <v>3990663</v>
      </c>
      <c r="E14" s="86">
        <f>Emb_Desemb_Conc_CI!E5</f>
        <v>4190196.1500000004</v>
      </c>
      <c r="F14" s="86">
        <f>Emb_Desemb_Conc_CO!E5</f>
        <v>4389729.3</v>
      </c>
      <c r="G14" s="147">
        <v>4906113</v>
      </c>
      <c r="H14" s="147">
        <v>4468738</v>
      </c>
    </row>
    <row r="15" spans="1:15" x14ac:dyDescent="0.25">
      <c r="A15" s="107">
        <f>A14+1</f>
        <v>1</v>
      </c>
      <c r="B15" s="105">
        <v>2022</v>
      </c>
      <c r="C15" s="105"/>
      <c r="D15" s="87">
        <f>Emb_Desemb_Conc_CP!E6</f>
        <v>4190196.1500000004</v>
      </c>
      <c r="E15" s="87">
        <f>Emb_Desemb_Conc_CI!E6</f>
        <v>4609215.7650000006</v>
      </c>
      <c r="F15" s="87">
        <f>Emb_Desemb_Conc_CO!E6</f>
        <v>5267675.16</v>
      </c>
      <c r="G15" s="91">
        <v>8618252</v>
      </c>
      <c r="H15" s="91">
        <v>8618747</v>
      </c>
    </row>
    <row r="16" spans="1:15" x14ac:dyDescent="0.25">
      <c r="A16" s="106">
        <f t="shared" ref="A16:A44" si="0">A15+1</f>
        <v>2</v>
      </c>
      <c r="B16" s="104">
        <v>2023</v>
      </c>
      <c r="C16" s="104"/>
      <c r="D16" s="86">
        <f>Emb_Desemb_Conc_CP!E7</f>
        <v>4504460.8612500001</v>
      </c>
      <c r="E16" s="86">
        <f>Emb_Desemb_Conc_CI!E7</f>
        <v>5300598.1297500003</v>
      </c>
      <c r="F16" s="86">
        <f>Emb_Desemb_Conc_CO!E7</f>
        <v>6847977.7079999996</v>
      </c>
      <c r="G16" s="147">
        <v>8617892</v>
      </c>
      <c r="H16" s="147">
        <v>8618552</v>
      </c>
    </row>
    <row r="17" spans="1:8" x14ac:dyDescent="0.25">
      <c r="A17" s="107">
        <f t="shared" si="0"/>
        <v>3</v>
      </c>
      <c r="B17" s="105">
        <v>2024</v>
      </c>
      <c r="C17" s="105"/>
      <c r="D17" s="87">
        <f>Emb_Desemb_Conc_CP!E8</f>
        <v>4954906.9473749995</v>
      </c>
      <c r="E17" s="87">
        <f>Emb_Desemb_Conc_CI!E8</f>
        <v>6095687.8492125003</v>
      </c>
      <c r="F17" s="87">
        <f>Emb_Desemb_Conc_CO!E8</f>
        <v>8902371.0203999989</v>
      </c>
      <c r="G17" s="91">
        <v>8617532</v>
      </c>
      <c r="H17" s="91">
        <v>8618357</v>
      </c>
    </row>
    <row r="18" spans="1:8" x14ac:dyDescent="0.25">
      <c r="A18" s="106">
        <f t="shared" si="0"/>
        <v>4</v>
      </c>
      <c r="B18" s="104">
        <v>2025</v>
      </c>
      <c r="C18" s="104"/>
      <c r="D18" s="86">
        <f>Emb_Desemb_Conc_CP!E9</f>
        <v>5574270.3157968745</v>
      </c>
      <c r="E18" s="86">
        <f>Emb_Desemb_Conc_CI!E9</f>
        <v>7314825.4190549999</v>
      </c>
      <c r="F18" s="86">
        <f>Emb_Desemb_Conc_CO!E9</f>
        <v>9169442.1510119997</v>
      </c>
      <c r="G18" s="147">
        <v>8617172</v>
      </c>
      <c r="H18" s="147">
        <v>8618162</v>
      </c>
    </row>
    <row r="19" spans="1:8" x14ac:dyDescent="0.25">
      <c r="A19" s="107">
        <f t="shared" si="0"/>
        <v>5</v>
      </c>
      <c r="B19" s="105">
        <v>2026</v>
      </c>
      <c r="C19" s="105"/>
      <c r="D19" s="87">
        <f>Emb_Desemb_Conc_CP!E10</f>
        <v>6410410.8631664068</v>
      </c>
      <c r="E19" s="87">
        <f>Emb_Desemb_Conc_CI!E10</f>
        <v>8777790.5028659999</v>
      </c>
      <c r="F19" s="87">
        <f>Emb_Desemb_Conc_CO!E10</f>
        <v>9444525.4155423604</v>
      </c>
      <c r="G19" s="91">
        <v>8616812</v>
      </c>
      <c r="H19" s="91">
        <v>8617968</v>
      </c>
    </row>
    <row r="20" spans="1:8" x14ac:dyDescent="0.25">
      <c r="A20" s="106">
        <f t="shared" si="0"/>
        <v>6</v>
      </c>
      <c r="B20" s="104">
        <v>2027</v>
      </c>
      <c r="C20" s="104"/>
      <c r="D20" s="86">
        <f>Emb_Desemb_Conc_CP!E11</f>
        <v>7532232.7642205274</v>
      </c>
      <c r="E20" s="86">
        <f>Emb_Desemb_Conc_CI!E11</f>
        <v>8988457.4749347866</v>
      </c>
      <c r="F20" s="86">
        <f>Emb_Desemb_Conc_CO!E11</f>
        <v>9727861.1780086309</v>
      </c>
      <c r="G20" s="147">
        <v>8616452</v>
      </c>
      <c r="H20" s="147">
        <v>8617773</v>
      </c>
    </row>
    <row r="21" spans="1:8" x14ac:dyDescent="0.25">
      <c r="A21" s="107">
        <f t="shared" si="0"/>
        <v>7</v>
      </c>
      <c r="B21" s="105">
        <v>2028</v>
      </c>
      <c r="C21" s="105"/>
      <c r="D21" s="87">
        <f>Emb_Desemb_Conc_CP!E12</f>
        <v>9038679.3170646317</v>
      </c>
      <c r="E21" s="87">
        <f>Emb_Desemb_Conc_CI!E12</f>
        <v>9204180.4543332197</v>
      </c>
      <c r="F21" s="87">
        <f>Emb_Desemb_Conc_CO!E12</f>
        <v>10019697.01334889</v>
      </c>
      <c r="G21" s="91">
        <v>8616092</v>
      </c>
      <c r="H21" s="91">
        <v>8617578</v>
      </c>
    </row>
    <row r="22" spans="1:8" x14ac:dyDescent="0.25">
      <c r="A22" s="106">
        <f t="shared" si="0"/>
        <v>8</v>
      </c>
      <c r="B22" s="104">
        <v>2029</v>
      </c>
      <c r="C22" s="104"/>
      <c r="D22" s="86">
        <f>Emb_Desemb_Conc_CP!E13</f>
        <v>9174259.5068206023</v>
      </c>
      <c r="E22" s="86">
        <f>Emb_Desemb_Conc_CI!E13</f>
        <v>9425080.7852372155</v>
      </c>
      <c r="F22" s="86">
        <f>Emb_Desemb_Conc_CO!E13</f>
        <v>10320287.923749357</v>
      </c>
      <c r="G22" s="147">
        <v>8615732</v>
      </c>
      <c r="H22" s="147">
        <v>8617383</v>
      </c>
    </row>
    <row r="23" spans="1:8" x14ac:dyDescent="0.25">
      <c r="A23" s="107">
        <f t="shared" si="0"/>
        <v>9</v>
      </c>
      <c r="B23" s="105">
        <v>2030</v>
      </c>
      <c r="C23" s="105"/>
      <c r="D23" s="87">
        <f>Emb_Desemb_Conc_CP!E14</f>
        <v>9311873.3994229119</v>
      </c>
      <c r="E23" s="87">
        <f>Emb_Desemb_Conc_CI!E14</f>
        <v>9651282.7240829095</v>
      </c>
      <c r="F23" s="87">
        <f>Emb_Desemb_Conc_CO!E14</f>
        <v>10629896.561461836</v>
      </c>
      <c r="G23" s="91">
        <v>8615372</v>
      </c>
      <c r="H23" s="91">
        <v>8617188</v>
      </c>
    </row>
    <row r="24" spans="1:8" x14ac:dyDescent="0.25">
      <c r="A24" s="106">
        <f t="shared" si="0"/>
        <v>10</v>
      </c>
      <c r="B24" s="104">
        <v>2031</v>
      </c>
      <c r="C24" s="104"/>
      <c r="D24" s="86">
        <f>Emb_Desemb_Conc_CP!E15</f>
        <v>9451551.500414256</v>
      </c>
      <c r="E24" s="86">
        <f>Emb_Desemb_Conc_CI!E15</f>
        <v>9882913.5094609</v>
      </c>
      <c r="F24" s="86">
        <f>Emb_Desemb_Conc_CO!E15</f>
        <v>10948793.458305692</v>
      </c>
      <c r="G24" s="147">
        <v>8615012</v>
      </c>
      <c r="H24" s="147">
        <v>8616993</v>
      </c>
    </row>
    <row r="25" spans="1:8" x14ac:dyDescent="0.25">
      <c r="A25" s="107">
        <f t="shared" si="0"/>
        <v>11</v>
      </c>
      <c r="B25" s="105">
        <v>2032</v>
      </c>
      <c r="C25" s="105"/>
      <c r="D25" s="87">
        <f>Emb_Desemb_Conc_CP!E16</f>
        <v>9593324.7729204707</v>
      </c>
      <c r="E25" s="87">
        <f>Emb_Desemb_Conc_CI!E16</f>
        <v>10120103.433687959</v>
      </c>
      <c r="F25" s="87">
        <f>Emb_Desemb_Conc_CO!E16</f>
        <v>11277257.262054864</v>
      </c>
      <c r="G25" s="91">
        <v>8614653</v>
      </c>
      <c r="H25" s="91">
        <v>8616798</v>
      </c>
    </row>
    <row r="26" spans="1:8" x14ac:dyDescent="0.25">
      <c r="A26" s="106">
        <f t="shared" si="0"/>
        <v>12</v>
      </c>
      <c r="B26" s="104">
        <v>2033</v>
      </c>
      <c r="C26" s="104"/>
      <c r="D26" s="86">
        <f>Emb_Desemb_Conc_CP!E17</f>
        <v>9737224.6445142776</v>
      </c>
      <c r="E26" s="86">
        <f>Emb_Desemb_Conc_CI!E17</f>
        <v>10362985.916096471</v>
      </c>
      <c r="F26" s="86">
        <f>Emb_Desemb_Conc_CO!E17</f>
        <v>11615574.979916509</v>
      </c>
      <c r="G26" s="147">
        <v>8614293</v>
      </c>
      <c r="H26" s="147">
        <v>8616603</v>
      </c>
    </row>
    <row r="27" spans="1:8" x14ac:dyDescent="0.25">
      <c r="A27" s="107">
        <f t="shared" si="0"/>
        <v>13</v>
      </c>
      <c r="B27" s="105">
        <v>2034</v>
      </c>
      <c r="C27" s="105"/>
      <c r="D27" s="87">
        <f>Emb_Desemb_Conc_CP!E18</f>
        <v>9883283.0141819902</v>
      </c>
      <c r="E27" s="87">
        <f>Emb_Desemb_Conc_CI!E18</f>
        <v>10611697.578082785</v>
      </c>
      <c r="F27" s="87">
        <f>Emb_Desemb_Conc_CO!E18</f>
        <v>11964042.229314003</v>
      </c>
      <c r="G27" s="91">
        <v>8613933</v>
      </c>
      <c r="H27" s="91">
        <v>8616408</v>
      </c>
    </row>
    <row r="28" spans="1:8" x14ac:dyDescent="0.25">
      <c r="A28" s="106">
        <f t="shared" si="0"/>
        <v>14</v>
      </c>
      <c r="B28" s="104">
        <v>2035</v>
      </c>
      <c r="C28" s="104"/>
      <c r="D28" s="86">
        <f>Emb_Desemb_Conc_CP!E19</f>
        <v>10031532.25939472</v>
      </c>
      <c r="E28" s="86">
        <f>Emb_Desemb_Conc_CI!E19</f>
        <v>10866378.319956772</v>
      </c>
      <c r="F28" s="86">
        <f>Emb_Desemb_Conc_CO!E19</f>
        <v>12002618.581350826</v>
      </c>
      <c r="G28" s="147">
        <v>8613573</v>
      </c>
      <c r="H28" s="147">
        <v>8616214</v>
      </c>
    </row>
    <row r="29" spans="1:8" x14ac:dyDescent="0.25">
      <c r="A29" s="107">
        <f t="shared" si="0"/>
        <v>15</v>
      </c>
      <c r="B29" s="105">
        <v>2036</v>
      </c>
      <c r="C29" s="105"/>
      <c r="D29" s="87">
        <f>Emb_Desemb_Conc_CP!E20</f>
        <v>10182005.243285641</v>
      </c>
      <c r="E29" s="87">
        <f>Emb_Desemb_Conc_CI!E20</f>
        <v>11127171.399635736</v>
      </c>
      <c r="F29" s="87">
        <f>Emb_Desemb_Conc_CO!E20</f>
        <v>12037925.991574481</v>
      </c>
      <c r="G29" s="91">
        <v>8613213</v>
      </c>
      <c r="H29" s="91">
        <v>8616019</v>
      </c>
    </row>
    <row r="30" spans="1:8" x14ac:dyDescent="0.25">
      <c r="A30" s="106">
        <f t="shared" si="0"/>
        <v>16</v>
      </c>
      <c r="B30" s="104">
        <v>2037</v>
      </c>
      <c r="C30" s="104"/>
      <c r="D30" s="86">
        <f>Emb_Desemb_Conc_CP!E21</f>
        <v>10334735.321934927</v>
      </c>
      <c r="E30" s="86">
        <f>Emb_Desemb_Conc_CI!E21</f>
        <v>11156761.676452439</v>
      </c>
      <c r="F30" s="86">
        <f>Emb_Desemb_Conc_CO!E21</f>
        <v>12069938.220882043</v>
      </c>
      <c r="G30" s="147">
        <v>8612853</v>
      </c>
      <c r="H30" s="147">
        <v>8615824</v>
      </c>
    </row>
    <row r="31" spans="1:8" x14ac:dyDescent="0.25">
      <c r="A31" s="107">
        <f t="shared" si="0"/>
        <v>17</v>
      </c>
      <c r="B31" s="105">
        <v>2038</v>
      </c>
      <c r="C31" s="105"/>
      <c r="D31" s="87">
        <f>Emb_Desemb_Conc_CP!E22</f>
        <v>10489756.351763951</v>
      </c>
      <c r="E31" s="87">
        <f>Emb_Desemb_Conc_CI!E22</f>
        <v>11183330.088064268</v>
      </c>
      <c r="F31" s="87">
        <f>Emb_Desemb_Conc_CO!E22</f>
        <v>12098681.246509146</v>
      </c>
      <c r="G31" s="91">
        <v>8612494</v>
      </c>
      <c r="H31" s="91">
        <v>8615629</v>
      </c>
    </row>
    <row r="32" spans="1:8" x14ac:dyDescent="0.25">
      <c r="A32" s="106">
        <f t="shared" si="0"/>
        <v>18</v>
      </c>
      <c r="B32" s="104">
        <v>2039</v>
      </c>
      <c r="C32" s="104"/>
      <c r="D32" s="86">
        <f>Emb_Desemb_Conc_CP!E23</f>
        <v>10511860.330667574</v>
      </c>
      <c r="E32" s="86">
        <f>Emb_Desemb_Conc_CI!E23</f>
        <v>11206895.563185841</v>
      </c>
      <c r="F32" s="86">
        <f>Emb_Desemb_Conc_CO!E23</f>
        <v>12124175.546478234</v>
      </c>
      <c r="G32" s="147">
        <v>8612134</v>
      </c>
      <c r="H32" s="147">
        <v>8615434</v>
      </c>
    </row>
    <row r="33" spans="1:8" x14ac:dyDescent="0.25">
      <c r="A33" s="107">
        <f t="shared" si="0"/>
        <v>19</v>
      </c>
      <c r="B33" s="105">
        <v>2040</v>
      </c>
      <c r="C33" s="105"/>
      <c r="D33" s="87">
        <f>Emb_Desemb_Conc_CP!E24</f>
        <v>10531171.359525234</v>
      </c>
      <c r="E33" s="87">
        <f>Emb_Desemb_Conc_CI!E24</f>
        <v>11227483.42078837</v>
      </c>
      <c r="F33" s="87">
        <f>Emb_Desemb_Conc_CO!E24</f>
        <v>12146448.512108333</v>
      </c>
      <c r="G33" s="91">
        <v>8611774</v>
      </c>
      <c r="H33" s="91">
        <v>8615239</v>
      </c>
    </row>
    <row r="34" spans="1:8" x14ac:dyDescent="0.25">
      <c r="A34" s="106">
        <f t="shared" si="0"/>
        <v>20</v>
      </c>
      <c r="B34" s="104">
        <v>2041</v>
      </c>
      <c r="C34" s="104"/>
      <c r="D34" s="86">
        <f>Emb_Desemb_Conc_CP!E25</f>
        <v>10547714.231461694</v>
      </c>
      <c r="E34" s="86">
        <f>Emb_Desemb_Conc_CI!E25</f>
        <v>11245120.093296871</v>
      </c>
      <c r="F34" s="86">
        <f>Emb_Desemb_Conc_CO!E25</f>
        <v>12165528.739308026</v>
      </c>
      <c r="G34" s="147">
        <v>8611414</v>
      </c>
      <c r="H34" s="147">
        <v>8615044</v>
      </c>
    </row>
    <row r="35" spans="1:8" x14ac:dyDescent="0.25">
      <c r="A35" s="107">
        <f t="shared" si="0"/>
        <v>21</v>
      </c>
      <c r="B35" s="105">
        <v>2042</v>
      </c>
      <c r="C35" s="105"/>
      <c r="D35" s="87">
        <f>Emb_Desemb_Conc_CP!E26</f>
        <v>10561534.218904417</v>
      </c>
      <c r="E35" s="87">
        <f>Emb_Desemb_Conc_CI!E26</f>
        <v>11259853.846513063</v>
      </c>
      <c r="F35" s="87">
        <f>Emb_Desemb_Conc_CO!E26</f>
        <v>12181468.444415871</v>
      </c>
      <c r="G35" s="91">
        <v>8611055</v>
      </c>
      <c r="H35" s="91">
        <v>8614850</v>
      </c>
    </row>
    <row r="36" spans="1:8" x14ac:dyDescent="0.25">
      <c r="A36" s="106">
        <f t="shared" si="0"/>
        <v>22</v>
      </c>
      <c r="B36" s="104">
        <v>2043</v>
      </c>
      <c r="C36" s="104"/>
      <c r="D36" s="86">
        <f>Emb_Desemb_Conc_CP!E27</f>
        <v>10572681.362189474</v>
      </c>
      <c r="E36" s="86">
        <f>Emb_Desemb_Conc_CI!E27</f>
        <v>11271738.029397327</v>
      </c>
      <c r="F36" s="86">
        <f>Emb_Desemb_Conc_CO!E27</f>
        <v>12194325.342983622</v>
      </c>
      <c r="G36" s="147">
        <v>8610695</v>
      </c>
      <c r="H36" s="147">
        <v>8614655</v>
      </c>
    </row>
    <row r="37" spans="1:8" x14ac:dyDescent="0.25">
      <c r="A37" s="107">
        <f t="shared" si="0"/>
        <v>23</v>
      </c>
      <c r="B37" s="105">
        <v>2044</v>
      </c>
      <c r="C37" s="105"/>
      <c r="D37" s="87">
        <f>Emb_Desemb_Conc_CP!E28</f>
        <v>10581169.647182116</v>
      </c>
      <c r="E37" s="87">
        <f>Emb_Desemb_Conc_CI!E28</f>
        <v>11280787.552548388</v>
      </c>
      <c r="F37" s="87">
        <f>Emb_Desemb_Conc_CO!E28</f>
        <v>12204115.566036634</v>
      </c>
      <c r="G37" s="91">
        <v>8610335</v>
      </c>
      <c r="H37" s="91">
        <v>8614460</v>
      </c>
    </row>
    <row r="38" spans="1:8" x14ac:dyDescent="0.25">
      <c r="A38" s="106">
        <f t="shared" si="0"/>
        <v>24</v>
      </c>
      <c r="B38" s="104">
        <v>2045</v>
      </c>
      <c r="C38" s="104"/>
      <c r="D38" s="86">
        <f>Emb_Desemb_Conc_CP!E29</f>
        <v>10587010.516863007</v>
      </c>
      <c r="E38" s="86">
        <f>Emb_Desemb_Conc_CI!E29</f>
        <v>11287014.615547024</v>
      </c>
      <c r="F38" s="86">
        <f>Emb_Desemb_Conc_CO!E29</f>
        <v>12210852.311686557</v>
      </c>
      <c r="G38" s="147">
        <v>8609976</v>
      </c>
      <c r="H38" s="147">
        <v>8614265</v>
      </c>
    </row>
    <row r="39" spans="1:8" x14ac:dyDescent="0.25">
      <c r="A39" s="107">
        <f t="shared" si="0"/>
        <v>25</v>
      </c>
      <c r="B39" s="105">
        <v>2046</v>
      </c>
      <c r="C39" s="105"/>
      <c r="D39" s="87">
        <f>Emb_Desemb_Conc_CP!E30</f>
        <v>10590217.820871439</v>
      </c>
      <c r="E39" s="87">
        <f>Emb_Desemb_Conc_CI!E30</f>
        <v>11290433.983758856</v>
      </c>
      <c r="F39" s="87">
        <f>Emb_Desemb_Conc_CO!E30</f>
        <v>12214551.553838369</v>
      </c>
      <c r="G39" s="91">
        <v>8609616</v>
      </c>
      <c r="H39" s="91">
        <v>8614070</v>
      </c>
    </row>
    <row r="40" spans="1:8" x14ac:dyDescent="0.25">
      <c r="A40" s="106">
        <f t="shared" si="0"/>
        <v>26</v>
      </c>
      <c r="B40" s="104">
        <v>2047</v>
      </c>
      <c r="C40" s="104"/>
      <c r="D40" s="86">
        <f>Emb_Desemb_Conc_CP!E31</f>
        <v>10590826.887139775</v>
      </c>
      <c r="E40" s="86">
        <f>Emb_Desemb_Conc_CI!E31</f>
        <v>11291083.320968976</v>
      </c>
      <c r="F40" s="86">
        <f>Emb_Desemb_Conc_CO!E31</f>
        <v>12215254.039043125</v>
      </c>
      <c r="G40" s="147">
        <v>8609256</v>
      </c>
      <c r="H40" s="147">
        <v>8613876</v>
      </c>
    </row>
    <row r="41" spans="1:8" x14ac:dyDescent="0.25">
      <c r="A41" s="107">
        <f t="shared" si="0"/>
        <v>27</v>
      </c>
      <c r="B41" s="105">
        <v>2048</v>
      </c>
      <c r="C41" s="105"/>
      <c r="D41" s="87">
        <f>Emb_Desemb_Conc_CP!E32</f>
        <v>10588865.778215829</v>
      </c>
      <c r="E41" s="87">
        <f>Emb_Desemb_Conc_CI!E32</f>
        <v>11288992.545196909</v>
      </c>
      <c r="F41" s="87">
        <f>Emb_Desemb_Conc_CO!E32</f>
        <v>12212992.134098448</v>
      </c>
      <c r="G41" s="91">
        <v>8608897</v>
      </c>
      <c r="H41" s="91">
        <v>8613681</v>
      </c>
    </row>
    <row r="42" spans="1:8" x14ac:dyDescent="0.25">
      <c r="A42" s="106">
        <f t="shared" si="0"/>
        <v>28</v>
      </c>
      <c r="B42" s="104">
        <v>2049</v>
      </c>
      <c r="C42" s="104"/>
      <c r="D42" s="86">
        <f>Emb_Desemb_Conc_CP!E33</f>
        <v>10584324.095517967</v>
      </c>
      <c r="E42" s="86">
        <f>Emb_Desemb_Conc_CI!E33</f>
        <v>11284150.570315681</v>
      </c>
      <c r="F42" s="86">
        <f>Emb_Desemb_Conc_CO!E33</f>
        <v>12207753.845482241</v>
      </c>
      <c r="G42" s="147">
        <v>8608537</v>
      </c>
      <c r="H42" s="147">
        <v>8613486</v>
      </c>
    </row>
    <row r="43" spans="1:8" x14ac:dyDescent="0.25">
      <c r="A43" s="107">
        <f t="shared" si="0"/>
        <v>29</v>
      </c>
      <c r="B43" s="105">
        <v>2050</v>
      </c>
      <c r="C43" s="105"/>
      <c r="D43" s="87">
        <f>Emb_Desemb_Conc_CP!E34</f>
        <v>10577186.400104025</v>
      </c>
      <c r="E43" s="87">
        <f>Emb_Desemb_Conc_CI!E34</f>
        <v>11276540.936573451</v>
      </c>
      <c r="F43" s="87">
        <f>Emb_Desemb_Conc_CO!E34</f>
        <v>12199521.366218466</v>
      </c>
      <c r="G43" s="91">
        <v>8608178</v>
      </c>
      <c r="H43" s="91">
        <v>8613291</v>
      </c>
    </row>
    <row r="44" spans="1:8" ht="15.75" thickBot="1" x14ac:dyDescent="0.3">
      <c r="A44" s="201">
        <f t="shared" si="0"/>
        <v>30</v>
      </c>
      <c r="B44" s="202">
        <v>2051</v>
      </c>
      <c r="C44" s="202"/>
      <c r="D44" s="166">
        <f>Emb_Desemb_Conc_CP!E35</f>
        <v>10567464.089546014</v>
      </c>
      <c r="E44" s="166">
        <f>Emb_Desemb_Conc_CI!E35</f>
        <v>11266175.795139957</v>
      </c>
      <c r="F44" s="166">
        <f>Emb_Desemb_Conc_CO!E35</f>
        <v>12188307.842045315</v>
      </c>
      <c r="G44" s="148">
        <v>8607818</v>
      </c>
      <c r="H44" s="148">
        <v>8613096</v>
      </c>
    </row>
    <row r="45" spans="1:8" x14ac:dyDescent="0.25">
      <c r="D45" s="5">
        <f>(D44/E44)-1</f>
        <v>-6.2018533910624396E-2</v>
      </c>
      <c r="E45" s="5">
        <f>(E44/F44)-1</f>
        <v>-7.5657101777847346E-2</v>
      </c>
    </row>
    <row r="46" spans="1:8" x14ac:dyDescent="0.25">
      <c r="D46" s="5">
        <f>(D44/F44)-1</f>
        <v>-0.13298349315628277</v>
      </c>
      <c r="E46" s="5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F8FBF-F4F1-4BA6-B0C3-0E8883B1470C}">
  <dimension ref="A1:K27"/>
  <sheetViews>
    <sheetView zoomScaleNormal="100" workbookViewId="0">
      <selection activeCell="N1" sqref="N1"/>
    </sheetView>
  </sheetViews>
  <sheetFormatPr defaultRowHeight="15" x14ac:dyDescent="0.25"/>
  <cols>
    <col min="1" max="1" width="18.5703125" bestFit="1" customWidth="1"/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1" x14ac:dyDescent="0.25">
      <c r="A1" s="78" t="s">
        <v>292</v>
      </c>
      <c r="B1" s="174"/>
      <c r="C1" s="78" t="s">
        <v>554</v>
      </c>
    </row>
    <row r="4" spans="1:11" x14ac:dyDescent="0.25">
      <c r="A4" s="110" t="s">
        <v>30</v>
      </c>
      <c r="B4" s="110" t="s">
        <v>317</v>
      </c>
    </row>
    <row r="5" spans="1:11" x14ac:dyDescent="0.25">
      <c r="A5" s="104">
        <v>2000</v>
      </c>
      <c r="B5" s="98">
        <v>4.3900000000000002E-2</v>
      </c>
      <c r="E5" s="5"/>
    </row>
    <row r="6" spans="1:11" x14ac:dyDescent="0.25">
      <c r="A6" s="105">
        <f>A5+1</f>
        <v>2001</v>
      </c>
      <c r="B6" s="103">
        <v>1.3899999999999999E-2</v>
      </c>
      <c r="E6" s="5"/>
      <c r="I6" s="5"/>
      <c r="J6" s="5"/>
      <c r="K6" s="5"/>
    </row>
    <row r="7" spans="1:11" x14ac:dyDescent="0.25">
      <c r="A7" s="104">
        <f>A6+1</f>
        <v>2002</v>
      </c>
      <c r="B7" s="98">
        <v>3.0499999999999999E-2</v>
      </c>
      <c r="F7" s="5"/>
      <c r="G7" s="5"/>
      <c r="H7" s="5"/>
      <c r="I7" s="5"/>
      <c r="J7" s="5"/>
      <c r="K7" s="5"/>
    </row>
    <row r="8" spans="1:11" x14ac:dyDescent="0.25">
      <c r="A8" s="105">
        <f t="shared" ref="A8:A25" si="0">A7+1</f>
        <v>2003</v>
      </c>
      <c r="B8" s="103">
        <v>1.14E-2</v>
      </c>
      <c r="F8" s="5"/>
      <c r="G8" s="5"/>
      <c r="H8" s="5"/>
      <c r="I8" s="5"/>
      <c r="J8" s="5"/>
      <c r="K8" s="5"/>
    </row>
    <row r="9" spans="1:11" x14ac:dyDescent="0.25">
      <c r="A9" s="104">
        <f t="shared" si="0"/>
        <v>2004</v>
      </c>
      <c r="B9" s="98">
        <v>5.7599999999999998E-2</v>
      </c>
    </row>
    <row r="10" spans="1:11" x14ac:dyDescent="0.25">
      <c r="A10" s="105">
        <f t="shared" si="0"/>
        <v>2005</v>
      </c>
      <c r="B10" s="103">
        <v>3.2000000000000001E-2</v>
      </c>
    </row>
    <row r="11" spans="1:11" x14ac:dyDescent="0.25">
      <c r="A11" s="104">
        <f t="shared" si="0"/>
        <v>2006</v>
      </c>
      <c r="B11" s="98">
        <v>3.9600000000000003E-2</v>
      </c>
    </row>
    <row r="12" spans="1:11" x14ac:dyDescent="0.25">
      <c r="A12" s="105">
        <f t="shared" si="0"/>
        <v>2007</v>
      </c>
      <c r="B12" s="103">
        <v>6.0699999999999997E-2</v>
      </c>
    </row>
    <row r="13" spans="1:11" x14ac:dyDescent="0.25">
      <c r="A13" s="104">
        <f t="shared" si="0"/>
        <v>2008</v>
      </c>
      <c r="B13" s="98">
        <v>5.0900000000000001E-2</v>
      </c>
    </row>
    <row r="14" spans="1:11" x14ac:dyDescent="0.25">
      <c r="A14" s="105">
        <f t="shared" si="0"/>
        <v>2009</v>
      </c>
      <c r="B14" s="103">
        <v>-1.2999999999999999E-3</v>
      </c>
    </row>
    <row r="15" spans="1:11" x14ac:dyDescent="0.25">
      <c r="A15" s="104">
        <f t="shared" si="0"/>
        <v>2010</v>
      </c>
      <c r="B15" s="98">
        <v>7.5300000000000006E-2</v>
      </c>
    </row>
    <row r="16" spans="1:11" x14ac:dyDescent="0.25">
      <c r="A16" s="105">
        <f t="shared" si="0"/>
        <v>2011</v>
      </c>
      <c r="B16" s="103">
        <v>3.9699999999999999E-2</v>
      </c>
    </row>
    <row r="17" spans="1:2" x14ac:dyDescent="0.25">
      <c r="A17" s="104">
        <f t="shared" si="0"/>
        <v>2012</v>
      </c>
      <c r="B17" s="98">
        <v>1.9199999999999998E-2</v>
      </c>
    </row>
    <row r="18" spans="1:2" x14ac:dyDescent="0.25">
      <c r="A18" s="105">
        <f t="shared" si="0"/>
        <v>2013</v>
      </c>
      <c r="B18" s="103">
        <v>0.03</v>
      </c>
    </row>
    <row r="19" spans="1:2" x14ac:dyDescent="0.25">
      <c r="A19" s="104">
        <f t="shared" si="0"/>
        <v>2014</v>
      </c>
      <c r="B19" s="98">
        <v>5.0000000000000001E-3</v>
      </c>
    </row>
    <row r="20" spans="1:2" x14ac:dyDescent="0.25">
      <c r="A20" s="105">
        <f t="shared" si="0"/>
        <v>2015</v>
      </c>
      <c r="B20" s="103">
        <v>-3.5499999999999997E-2</v>
      </c>
    </row>
    <row r="21" spans="1:2" x14ac:dyDescent="0.25">
      <c r="A21" s="104">
        <f t="shared" si="0"/>
        <v>2016</v>
      </c>
      <c r="B21" s="98">
        <v>-3.3099999999999997E-2</v>
      </c>
    </row>
    <row r="22" spans="1:2" x14ac:dyDescent="0.25">
      <c r="A22" s="105">
        <f t="shared" si="0"/>
        <v>2017</v>
      </c>
      <c r="B22" s="103">
        <v>1.06E-2</v>
      </c>
    </row>
    <row r="23" spans="1:2" x14ac:dyDescent="0.25">
      <c r="A23" s="104">
        <f t="shared" si="0"/>
        <v>2018</v>
      </c>
      <c r="B23" s="98">
        <v>1.12E-2</v>
      </c>
    </row>
    <row r="24" spans="1:2" x14ac:dyDescent="0.25">
      <c r="A24" s="105">
        <f t="shared" si="0"/>
        <v>2019</v>
      </c>
      <c r="B24" s="103">
        <v>1.14E-2</v>
      </c>
    </row>
    <row r="25" spans="1:2" x14ac:dyDescent="0.25">
      <c r="A25" s="104">
        <f t="shared" si="0"/>
        <v>2020</v>
      </c>
      <c r="B25" s="98">
        <v>-4.1000000000000002E-2</v>
      </c>
    </row>
    <row r="26" spans="1:2" x14ac:dyDescent="0.25">
      <c r="A26" s="78" t="s">
        <v>318</v>
      </c>
      <c r="B26" s="113">
        <f>AVERAGE(B5:B24)</f>
        <v>2.3649999999999997E-2</v>
      </c>
    </row>
    <row r="27" spans="1:2" x14ac:dyDescent="0.25">
      <c r="A27" s="78" t="s">
        <v>319</v>
      </c>
      <c r="B27" s="113">
        <f>AVERAGE(B5:B25)</f>
        <v>2.057142857142857E-2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3E752-47E3-455E-808F-FA62AEB10461}">
  <dimension ref="A1:K65"/>
  <sheetViews>
    <sheetView zoomScaleNormal="100" workbookViewId="0">
      <selection activeCell="N1" sqref="N1"/>
    </sheetView>
  </sheetViews>
  <sheetFormatPr defaultRowHeight="15" x14ac:dyDescent="0.25"/>
  <cols>
    <col min="1" max="1" width="18.5703125" bestFit="1" customWidth="1"/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1" x14ac:dyDescent="0.25">
      <c r="A1" s="78" t="s">
        <v>292</v>
      </c>
      <c r="B1" s="174"/>
      <c r="C1" s="78" t="s">
        <v>555</v>
      </c>
    </row>
    <row r="2" spans="1:11" x14ac:dyDescent="0.25">
      <c r="B2" s="151"/>
    </row>
    <row r="4" spans="1:11" x14ac:dyDescent="0.25">
      <c r="A4" s="110" t="s">
        <v>30</v>
      </c>
      <c r="B4" s="110" t="s">
        <v>320</v>
      </c>
      <c r="C4" s="110" t="s">
        <v>321</v>
      </c>
    </row>
    <row r="5" spans="1:11" x14ac:dyDescent="0.25">
      <c r="A5" s="104">
        <v>2000</v>
      </c>
      <c r="B5" s="86">
        <v>169590693</v>
      </c>
      <c r="C5" s="98"/>
    </row>
    <row r="6" spans="1:11" x14ac:dyDescent="0.25">
      <c r="A6" s="105">
        <v>2001</v>
      </c>
      <c r="B6" s="87">
        <v>172385826</v>
      </c>
      <c r="C6" s="103">
        <f>(B6-B5)/B5</f>
        <v>1.648164147781388E-2</v>
      </c>
    </row>
    <row r="7" spans="1:11" x14ac:dyDescent="0.25">
      <c r="A7" s="104">
        <v>2002</v>
      </c>
      <c r="B7" s="86">
        <v>174632960</v>
      </c>
      <c r="C7" s="98">
        <f>(B7-B6)/B6</f>
        <v>1.303549167667648E-2</v>
      </c>
    </row>
    <row r="8" spans="1:11" x14ac:dyDescent="0.25">
      <c r="A8" s="105">
        <v>2003</v>
      </c>
      <c r="B8" s="87">
        <v>176871437</v>
      </c>
      <c r="C8" s="103">
        <f>(B8-B7)/B7</f>
        <v>1.2818181630775772E-2</v>
      </c>
    </row>
    <row r="9" spans="1:11" x14ac:dyDescent="0.25">
      <c r="A9" s="104">
        <v>2004</v>
      </c>
      <c r="B9" s="86">
        <v>181581024</v>
      </c>
      <c r="C9" s="98">
        <f t="shared" ref="C9:C65" si="0">(B9-B8)/B8</f>
        <v>2.6627176665048522E-2</v>
      </c>
    </row>
    <row r="10" spans="1:11" x14ac:dyDescent="0.25">
      <c r="A10" s="105">
        <v>2005</v>
      </c>
      <c r="B10" s="87">
        <v>184184264</v>
      </c>
      <c r="C10" s="103">
        <f t="shared" si="0"/>
        <v>1.4336520098047249E-2</v>
      </c>
    </row>
    <row r="11" spans="1:11" x14ac:dyDescent="0.25">
      <c r="A11" s="104">
        <v>2006</v>
      </c>
      <c r="B11" s="86">
        <v>186770562</v>
      </c>
      <c r="C11" s="98">
        <f t="shared" si="0"/>
        <v>1.404190533888389E-2</v>
      </c>
    </row>
    <row r="12" spans="1:11" x14ac:dyDescent="0.25">
      <c r="A12" s="105">
        <v>2007</v>
      </c>
      <c r="B12" s="87">
        <v>183989711</v>
      </c>
      <c r="C12" s="103">
        <f t="shared" si="0"/>
        <v>-1.4889129048077716E-2</v>
      </c>
    </row>
    <row r="13" spans="1:11" x14ac:dyDescent="0.25">
      <c r="A13" s="104">
        <v>2008</v>
      </c>
      <c r="B13" s="86">
        <v>189612814</v>
      </c>
      <c r="C13" s="98">
        <f t="shared" si="0"/>
        <v>3.0562051374709753E-2</v>
      </c>
    </row>
    <row r="14" spans="1:11" x14ac:dyDescent="0.25">
      <c r="A14" s="105">
        <v>2009</v>
      </c>
      <c r="B14" s="87">
        <v>191480630</v>
      </c>
      <c r="C14" s="103">
        <f t="shared" si="0"/>
        <v>9.8506844584881278E-3</v>
      </c>
    </row>
    <row r="15" spans="1:11" x14ac:dyDescent="0.25">
      <c r="A15" s="104">
        <v>2010</v>
      </c>
      <c r="B15" s="86">
        <v>194890682</v>
      </c>
      <c r="C15" s="98">
        <f t="shared" si="0"/>
        <v>1.7808861397625442E-2</v>
      </c>
      <c r="E15" s="2"/>
    </row>
    <row r="16" spans="1:11" x14ac:dyDescent="0.25">
      <c r="A16" s="105">
        <v>2011</v>
      </c>
      <c r="B16" s="87">
        <v>196603732</v>
      </c>
      <c r="C16" s="103">
        <f t="shared" si="0"/>
        <v>8.7897994014921651E-3</v>
      </c>
      <c r="E16" s="2"/>
      <c r="I16" s="5"/>
      <c r="J16" s="5"/>
      <c r="K16" s="5"/>
    </row>
    <row r="17" spans="1:11" x14ac:dyDescent="0.25">
      <c r="A17" s="104">
        <v>2012</v>
      </c>
      <c r="B17" s="86">
        <v>198314934</v>
      </c>
      <c r="C17" s="98">
        <f t="shared" si="0"/>
        <v>8.7038123976202041E-3</v>
      </c>
      <c r="E17" s="2"/>
      <c r="F17" s="5"/>
      <c r="G17" s="5"/>
      <c r="H17" s="5"/>
      <c r="I17" s="5"/>
      <c r="J17" s="5"/>
      <c r="K17" s="5"/>
    </row>
    <row r="18" spans="1:11" x14ac:dyDescent="0.25">
      <c r="A18" s="105">
        <v>2013</v>
      </c>
      <c r="B18" s="87">
        <v>200004188</v>
      </c>
      <c r="C18" s="103">
        <f t="shared" si="0"/>
        <v>8.5180372749941256E-3</v>
      </c>
      <c r="E18" s="2"/>
      <c r="F18" s="5"/>
      <c r="G18" s="5"/>
      <c r="H18" s="5"/>
      <c r="I18" s="5"/>
      <c r="J18" s="5"/>
      <c r="K18" s="5"/>
    </row>
    <row r="19" spans="1:11" x14ac:dyDescent="0.25">
      <c r="A19" s="104">
        <v>2014</v>
      </c>
      <c r="B19" s="86">
        <v>201717541</v>
      </c>
      <c r="C19" s="98">
        <f t="shared" si="0"/>
        <v>8.5665856156972066E-3</v>
      </c>
      <c r="E19" s="2"/>
    </row>
    <row r="20" spans="1:11" x14ac:dyDescent="0.25">
      <c r="A20" s="105">
        <v>2015</v>
      </c>
      <c r="B20" s="87">
        <v>203475683</v>
      </c>
      <c r="C20" s="103">
        <f t="shared" si="0"/>
        <v>8.7158607589807972E-3</v>
      </c>
      <c r="E20" s="2"/>
    </row>
    <row r="21" spans="1:11" x14ac:dyDescent="0.25">
      <c r="A21" s="104">
        <v>2016</v>
      </c>
      <c r="B21" s="86">
        <v>205156587</v>
      </c>
      <c r="C21" s="98">
        <f t="shared" si="0"/>
        <v>8.2609576496666687E-3</v>
      </c>
      <c r="E21" s="2"/>
    </row>
    <row r="22" spans="1:11" x14ac:dyDescent="0.25">
      <c r="A22" s="105">
        <v>2017</v>
      </c>
      <c r="B22" s="87">
        <v>206804741</v>
      </c>
      <c r="C22" s="103">
        <f t="shared" si="0"/>
        <v>8.0336392026252607E-3</v>
      </c>
      <c r="E22" s="2"/>
    </row>
    <row r="23" spans="1:11" x14ac:dyDescent="0.25">
      <c r="A23" s="104">
        <v>2018</v>
      </c>
      <c r="B23" s="86">
        <v>208494900</v>
      </c>
      <c r="C23" s="98">
        <f t="shared" si="0"/>
        <v>8.1727284965870291E-3</v>
      </c>
      <c r="E23" s="2"/>
    </row>
    <row r="24" spans="1:11" x14ac:dyDescent="0.25">
      <c r="A24" s="105">
        <v>2019</v>
      </c>
      <c r="B24" s="87">
        <v>210147125</v>
      </c>
      <c r="C24" s="103">
        <f t="shared" si="0"/>
        <v>7.9245343651091708E-3</v>
      </c>
      <c r="E24" s="2"/>
    </row>
    <row r="25" spans="1:11" x14ac:dyDescent="0.25">
      <c r="A25" s="104">
        <v>2020</v>
      </c>
      <c r="B25" s="86">
        <v>211755692</v>
      </c>
      <c r="C25" s="98">
        <f t="shared" si="0"/>
        <v>7.6544801647893115E-3</v>
      </c>
      <c r="E25" s="2"/>
    </row>
    <row r="26" spans="1:11" x14ac:dyDescent="0.25">
      <c r="A26" s="105">
        <v>2021</v>
      </c>
      <c r="B26" s="87">
        <v>213317639</v>
      </c>
      <c r="C26" s="103">
        <f t="shared" si="0"/>
        <v>7.3761748043117536E-3</v>
      </c>
      <c r="E26" s="2"/>
    </row>
    <row r="27" spans="1:11" x14ac:dyDescent="0.25">
      <c r="A27" s="104">
        <v>2022</v>
      </c>
      <c r="B27" s="86">
        <v>214828540</v>
      </c>
      <c r="C27" s="98">
        <f t="shared" si="0"/>
        <v>7.0828695042888601E-3</v>
      </c>
      <c r="E27" s="2"/>
    </row>
    <row r="28" spans="1:11" x14ac:dyDescent="0.25">
      <c r="A28" s="105">
        <v>2023</v>
      </c>
      <c r="B28" s="87">
        <v>216284269</v>
      </c>
      <c r="C28" s="103">
        <f t="shared" si="0"/>
        <v>6.7762365279771487E-3</v>
      </c>
      <c r="E28" s="2"/>
    </row>
    <row r="29" spans="1:11" x14ac:dyDescent="0.25">
      <c r="A29" s="104">
        <v>2024</v>
      </c>
      <c r="B29" s="86">
        <v>217684462</v>
      </c>
      <c r="C29" s="98">
        <f t="shared" si="0"/>
        <v>6.4738550171672448E-3</v>
      </c>
      <c r="E29" s="2"/>
    </row>
    <row r="30" spans="1:11" x14ac:dyDescent="0.25">
      <c r="A30" s="105">
        <v>2025</v>
      </c>
      <c r="B30" s="87">
        <v>219029093</v>
      </c>
      <c r="C30" s="103">
        <f t="shared" si="0"/>
        <v>6.1769727965241723E-3</v>
      </c>
      <c r="E30" s="2"/>
    </row>
    <row r="31" spans="1:11" x14ac:dyDescent="0.25">
      <c r="A31" s="104">
        <v>2026</v>
      </c>
      <c r="B31" s="86">
        <v>220316530</v>
      </c>
      <c r="C31" s="98">
        <f t="shared" si="0"/>
        <v>5.8779269108328001E-3</v>
      </c>
      <c r="E31" s="2"/>
    </row>
    <row r="32" spans="1:11" x14ac:dyDescent="0.25">
      <c r="A32" s="105">
        <v>2027</v>
      </c>
      <c r="B32" s="87">
        <v>221545234</v>
      </c>
      <c r="C32" s="103">
        <f t="shared" si="0"/>
        <v>5.5769941547281991E-3</v>
      </c>
      <c r="E32" s="2"/>
    </row>
    <row r="33" spans="1:5" x14ac:dyDescent="0.25">
      <c r="A33" s="104">
        <v>2028</v>
      </c>
      <c r="B33" s="86">
        <v>222713669</v>
      </c>
      <c r="C33" s="98">
        <f t="shared" si="0"/>
        <v>5.2740245362263129E-3</v>
      </c>
      <c r="E33" s="2"/>
    </row>
    <row r="34" spans="1:5" x14ac:dyDescent="0.25">
      <c r="A34" s="105">
        <v>2029</v>
      </c>
      <c r="B34" s="87">
        <v>223821305</v>
      </c>
      <c r="C34" s="103">
        <f t="shared" si="0"/>
        <v>4.9733633547207196E-3</v>
      </c>
      <c r="E34" s="2"/>
    </row>
    <row r="35" spans="1:5" x14ac:dyDescent="0.25">
      <c r="A35" s="104">
        <v>2030</v>
      </c>
      <c r="B35" s="86">
        <v>224868462</v>
      </c>
      <c r="C35" s="98">
        <f t="shared" si="0"/>
        <v>4.6785403203685192E-3</v>
      </c>
      <c r="E35" s="2"/>
    </row>
    <row r="36" spans="1:5" x14ac:dyDescent="0.25">
      <c r="A36" s="105">
        <v>2031</v>
      </c>
      <c r="B36" s="87">
        <v>225854415</v>
      </c>
      <c r="C36" s="103">
        <f t="shared" si="0"/>
        <v>4.3845766152836498E-3</v>
      </c>
    </row>
    <row r="37" spans="1:5" x14ac:dyDescent="0.25">
      <c r="A37" s="104">
        <v>2032</v>
      </c>
      <c r="B37" s="86">
        <v>226777802</v>
      </c>
      <c r="C37" s="98">
        <f t="shared" si="0"/>
        <v>4.0884168680076502E-3</v>
      </c>
    </row>
    <row r="38" spans="1:5" x14ac:dyDescent="0.25">
      <c r="A38" s="105">
        <v>2033</v>
      </c>
      <c r="B38" s="87">
        <v>227638581</v>
      </c>
      <c r="C38" s="103">
        <f t="shared" si="0"/>
        <v>3.7956933721405412E-3</v>
      </c>
    </row>
    <row r="39" spans="1:5" x14ac:dyDescent="0.25">
      <c r="A39" s="104">
        <v>2034</v>
      </c>
      <c r="B39" s="86">
        <v>228437122</v>
      </c>
      <c r="C39" s="98">
        <f t="shared" si="0"/>
        <v>3.5079334816271765E-3</v>
      </c>
    </row>
    <row r="40" spans="1:5" x14ac:dyDescent="0.25">
      <c r="A40" s="105">
        <v>2035</v>
      </c>
      <c r="B40" s="87">
        <v>229173685</v>
      </c>
      <c r="C40" s="103">
        <f t="shared" si="0"/>
        <v>3.2243577293886586E-3</v>
      </c>
    </row>
    <row r="41" spans="1:5" x14ac:dyDescent="0.25">
      <c r="A41" s="104">
        <v>2036</v>
      </c>
      <c r="B41" s="86">
        <v>229847832</v>
      </c>
      <c r="C41" s="98">
        <f t="shared" si="0"/>
        <v>2.941642274504597E-3</v>
      </c>
    </row>
    <row r="42" spans="1:5" x14ac:dyDescent="0.25">
      <c r="A42" s="105">
        <v>2037</v>
      </c>
      <c r="B42" s="87">
        <v>230459062</v>
      </c>
      <c r="C42" s="103">
        <f t="shared" si="0"/>
        <v>2.6592811195191085E-3</v>
      </c>
    </row>
    <row r="43" spans="1:5" x14ac:dyDescent="0.25">
      <c r="A43" s="104">
        <v>2038</v>
      </c>
      <c r="B43" s="86">
        <v>231007871</v>
      </c>
      <c r="C43" s="98">
        <f t="shared" si="0"/>
        <v>2.381373052711635E-3</v>
      </c>
    </row>
    <row r="44" spans="1:5" x14ac:dyDescent="0.25">
      <c r="A44" s="105">
        <v>2039</v>
      </c>
      <c r="B44" s="87">
        <v>231494650</v>
      </c>
      <c r="C44" s="103">
        <f t="shared" si="0"/>
        <v>2.1071965985089746E-3</v>
      </c>
    </row>
    <row r="45" spans="1:5" x14ac:dyDescent="0.25">
      <c r="A45" s="104">
        <v>2040</v>
      </c>
      <c r="B45" s="86">
        <v>231919922</v>
      </c>
      <c r="C45" s="98">
        <f t="shared" si="0"/>
        <v>1.8370705327315339E-3</v>
      </c>
    </row>
    <row r="46" spans="1:5" x14ac:dyDescent="0.25">
      <c r="A46" s="105">
        <v>2041</v>
      </c>
      <c r="B46" s="87">
        <v>232284233</v>
      </c>
      <c r="C46" s="103">
        <f t="shared" si="0"/>
        <v>1.5708482344177401E-3</v>
      </c>
    </row>
    <row r="47" spans="1:5" x14ac:dyDescent="0.25">
      <c r="A47" s="104">
        <v>2042</v>
      </c>
      <c r="B47" s="86">
        <v>232588580</v>
      </c>
      <c r="C47" s="98">
        <f t="shared" si="0"/>
        <v>1.3102352926382223E-3</v>
      </c>
    </row>
    <row r="48" spans="1:5" x14ac:dyDescent="0.25">
      <c r="A48" s="105">
        <v>2043</v>
      </c>
      <c r="B48" s="87">
        <v>232834065</v>
      </c>
      <c r="C48" s="103">
        <f t="shared" si="0"/>
        <v>1.055447348274795E-3</v>
      </c>
    </row>
    <row r="49" spans="1:3" x14ac:dyDescent="0.25">
      <c r="A49" s="104">
        <v>2044</v>
      </c>
      <c r="B49" s="86">
        <v>233020996</v>
      </c>
      <c r="C49" s="98">
        <f t="shared" si="0"/>
        <v>8.0285073406247489E-4</v>
      </c>
    </row>
    <row r="50" spans="1:3" x14ac:dyDescent="0.25">
      <c r="A50" s="105">
        <v>2045</v>
      </c>
      <c r="B50" s="87">
        <v>233149625</v>
      </c>
      <c r="C50" s="103">
        <f t="shared" si="0"/>
        <v>5.5200605184950804E-4</v>
      </c>
    </row>
    <row r="51" spans="1:3" x14ac:dyDescent="0.25">
      <c r="A51" s="104">
        <v>2046</v>
      </c>
      <c r="B51" s="86">
        <v>233220257</v>
      </c>
      <c r="C51" s="98">
        <f t="shared" si="0"/>
        <v>3.0294708816280532E-4</v>
      </c>
    </row>
    <row r="52" spans="1:3" x14ac:dyDescent="0.25">
      <c r="A52" s="105">
        <v>2047</v>
      </c>
      <c r="B52" s="87">
        <v>233233670</v>
      </c>
      <c r="C52" s="103">
        <f t="shared" si="0"/>
        <v>5.7512156844934787E-5</v>
      </c>
    </row>
    <row r="53" spans="1:3" x14ac:dyDescent="0.25">
      <c r="A53" s="104">
        <v>2048</v>
      </c>
      <c r="B53" s="86">
        <v>233190482</v>
      </c>
      <c r="C53" s="98">
        <f t="shared" si="0"/>
        <v>-1.8517052019118851E-4</v>
      </c>
    </row>
    <row r="54" spans="1:3" x14ac:dyDescent="0.25">
      <c r="A54" s="105">
        <v>2049</v>
      </c>
      <c r="B54" s="87">
        <v>233090464</v>
      </c>
      <c r="C54" s="103">
        <f t="shared" si="0"/>
        <v>-4.2891115941859066E-4</v>
      </c>
    </row>
    <row r="55" spans="1:3" x14ac:dyDescent="0.25">
      <c r="A55" s="104">
        <v>2050</v>
      </c>
      <c r="B55" s="86">
        <v>232933276</v>
      </c>
      <c r="C55" s="98">
        <f t="shared" si="0"/>
        <v>-6.7436478225037981E-4</v>
      </c>
    </row>
    <row r="56" spans="1:3" x14ac:dyDescent="0.25">
      <c r="A56" s="105">
        <v>2051</v>
      </c>
      <c r="B56" s="87">
        <v>232719169</v>
      </c>
      <c r="C56" s="103">
        <f t="shared" si="0"/>
        <v>-9.1917738709002656E-4</v>
      </c>
    </row>
    <row r="57" spans="1:3" x14ac:dyDescent="0.25">
      <c r="A57" s="104">
        <v>2052</v>
      </c>
      <c r="B57" s="86">
        <v>232448867</v>
      </c>
      <c r="C57" s="98">
        <f t="shared" si="0"/>
        <v>-1.1614943502999532E-3</v>
      </c>
    </row>
    <row r="58" spans="1:3" x14ac:dyDescent="0.25">
      <c r="A58" s="105">
        <v>2053</v>
      </c>
      <c r="B58" s="87">
        <v>232122448</v>
      </c>
      <c r="C58" s="103">
        <f t="shared" si="0"/>
        <v>-1.4042615230299229E-3</v>
      </c>
    </row>
    <row r="59" spans="1:3" x14ac:dyDescent="0.25">
      <c r="A59" s="104">
        <v>2054</v>
      </c>
      <c r="B59" s="86">
        <v>231739632</v>
      </c>
      <c r="C59" s="98">
        <f t="shared" si="0"/>
        <v>-1.6491985299069394E-3</v>
      </c>
    </row>
    <row r="60" spans="1:3" x14ac:dyDescent="0.25">
      <c r="A60" s="105">
        <v>2055</v>
      </c>
      <c r="B60" s="87">
        <v>231300323</v>
      </c>
      <c r="C60" s="103">
        <f t="shared" si="0"/>
        <v>-1.8957007750836509E-3</v>
      </c>
    </row>
    <row r="61" spans="1:3" x14ac:dyDescent="0.25">
      <c r="A61" s="104">
        <v>2056</v>
      </c>
      <c r="B61" s="86">
        <v>230805223</v>
      </c>
      <c r="C61" s="98">
        <f t="shared" si="0"/>
        <v>-2.1405071708438558E-3</v>
      </c>
    </row>
    <row r="62" spans="1:3" x14ac:dyDescent="0.25">
      <c r="A62" s="105">
        <v>2057</v>
      </c>
      <c r="B62" s="87">
        <v>230255685</v>
      </c>
      <c r="C62" s="103">
        <f t="shared" si="0"/>
        <v>-2.3809599837348568E-3</v>
      </c>
    </row>
    <row r="63" spans="1:3" x14ac:dyDescent="0.25">
      <c r="A63" s="104">
        <v>2058</v>
      </c>
      <c r="B63" s="86">
        <v>229652286</v>
      </c>
      <c r="C63" s="98">
        <f t="shared" si="0"/>
        <v>-2.6205607040712155E-3</v>
      </c>
    </row>
    <row r="64" spans="1:3" x14ac:dyDescent="0.25">
      <c r="A64" s="105">
        <v>2059</v>
      </c>
      <c r="B64" s="87">
        <v>228995541</v>
      </c>
      <c r="C64" s="103">
        <f t="shared" si="0"/>
        <v>-2.8597363929571333E-3</v>
      </c>
    </row>
    <row r="65" spans="1:3" x14ac:dyDescent="0.25">
      <c r="A65" s="104">
        <v>2060</v>
      </c>
      <c r="B65" s="86">
        <v>228286347</v>
      </c>
      <c r="C65" s="98">
        <f t="shared" si="0"/>
        <v>-3.0969773337202228E-3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7CBE3-4DDA-409D-988E-7CAF56EBBF0C}">
  <dimension ref="A1:K56"/>
  <sheetViews>
    <sheetView zoomScaleNormal="100" workbookViewId="0">
      <selection activeCell="N1" sqref="N1"/>
    </sheetView>
  </sheetViews>
  <sheetFormatPr defaultRowHeight="15" x14ac:dyDescent="0.25"/>
  <cols>
    <col min="1" max="1" width="18.5703125" bestFit="1" customWidth="1"/>
    <col min="2" max="2" width="15.85546875" bestFit="1" customWidth="1"/>
    <col min="3" max="3" width="17.42578125" customWidth="1"/>
    <col min="4" max="4" width="14.5703125" bestFit="1" customWidth="1"/>
    <col min="5" max="5" width="15" customWidth="1"/>
    <col min="8" max="8" width="12.42578125" customWidth="1"/>
    <col min="9" max="9" width="11.7109375" customWidth="1"/>
  </cols>
  <sheetData>
    <row r="1" spans="1:11" x14ac:dyDescent="0.25">
      <c r="A1" s="78" t="s">
        <v>292</v>
      </c>
      <c r="B1" s="174"/>
      <c r="C1" s="78" t="s">
        <v>552</v>
      </c>
    </row>
    <row r="4" spans="1:11" ht="25.5" x14ac:dyDescent="0.25">
      <c r="A4" s="110" t="s">
        <v>30</v>
      </c>
      <c r="B4" s="110" t="s">
        <v>298</v>
      </c>
      <c r="C4" s="110" t="s">
        <v>320</v>
      </c>
      <c r="D4" s="110" t="s">
        <v>322</v>
      </c>
    </row>
    <row r="5" spans="1:11" x14ac:dyDescent="0.25">
      <c r="A5" s="104">
        <v>2000</v>
      </c>
      <c r="B5" s="98">
        <f>Var_pib_anual!B5</f>
        <v>4.3900000000000002E-2</v>
      </c>
      <c r="C5" s="98"/>
      <c r="D5" s="98"/>
    </row>
    <row r="6" spans="1:11" x14ac:dyDescent="0.25">
      <c r="A6" s="105">
        <v>2001</v>
      </c>
      <c r="B6" s="103">
        <f>Var_pib_anual!B6</f>
        <v>1.3899999999999999E-2</v>
      </c>
      <c r="C6" s="103">
        <f>Var_pop_anual!C6</f>
        <v>1.648164147781388E-2</v>
      </c>
      <c r="D6" s="103"/>
    </row>
    <row r="7" spans="1:11" x14ac:dyDescent="0.25">
      <c r="A7" s="104">
        <v>2002</v>
      </c>
      <c r="B7" s="98">
        <f>Var_pib_anual!B7</f>
        <v>3.0499999999999999E-2</v>
      </c>
      <c r="C7" s="98">
        <f>Var_pop_anual!C7</f>
        <v>1.303549167667648E-2</v>
      </c>
      <c r="D7" s="98"/>
    </row>
    <row r="8" spans="1:11" x14ac:dyDescent="0.25">
      <c r="A8" s="105">
        <v>2003</v>
      </c>
      <c r="B8" s="103">
        <f>Var_pib_anual!B8</f>
        <v>1.14E-2</v>
      </c>
      <c r="C8" s="103">
        <f>Var_pop_anual!C8</f>
        <v>1.2818181630775772E-2</v>
      </c>
      <c r="D8" s="103"/>
    </row>
    <row r="9" spans="1:11" x14ac:dyDescent="0.25">
      <c r="A9" s="104">
        <v>2004</v>
      </c>
      <c r="B9" s="98">
        <f>Var_pib_anual!B9</f>
        <v>5.7599999999999998E-2</v>
      </c>
      <c r="C9" s="98">
        <f>Var_pop_anual!C9</f>
        <v>2.6627176665048522E-2</v>
      </c>
      <c r="D9" s="98"/>
    </row>
    <row r="10" spans="1:11" x14ac:dyDescent="0.25">
      <c r="A10" s="105">
        <v>2005</v>
      </c>
      <c r="B10" s="103">
        <f>Var_pib_anual!B10</f>
        <v>3.2000000000000001E-2</v>
      </c>
      <c r="C10" s="103">
        <f>Var_pop_anual!C10</f>
        <v>1.4336520098047249E-2</v>
      </c>
      <c r="D10" s="103"/>
    </row>
    <row r="11" spans="1:11" x14ac:dyDescent="0.25">
      <c r="A11" s="104">
        <v>2006</v>
      </c>
      <c r="B11" s="98">
        <f>Var_pib_anual!B11</f>
        <v>3.9600000000000003E-2</v>
      </c>
      <c r="C11" s="98">
        <f>Var_pop_anual!C11</f>
        <v>1.404190533888389E-2</v>
      </c>
      <c r="D11" s="98"/>
    </row>
    <row r="12" spans="1:11" x14ac:dyDescent="0.25">
      <c r="A12" s="105">
        <v>2007</v>
      </c>
      <c r="B12" s="103">
        <f>Var_pib_anual!B12</f>
        <v>6.0699999999999997E-2</v>
      </c>
      <c r="C12" s="103">
        <f>Var_pop_anual!C12</f>
        <v>-1.4889129048077716E-2</v>
      </c>
      <c r="D12" s="103"/>
    </row>
    <row r="13" spans="1:11" x14ac:dyDescent="0.25">
      <c r="A13" s="104">
        <v>2008</v>
      </c>
      <c r="B13" s="98">
        <f>Var_pib_anual!B13</f>
        <v>5.0900000000000001E-2</v>
      </c>
      <c r="C13" s="98">
        <f>Var_pop_anual!C13</f>
        <v>3.0562051374709753E-2</v>
      </c>
      <c r="D13" s="98"/>
    </row>
    <row r="14" spans="1:11" x14ac:dyDescent="0.25">
      <c r="A14" s="105">
        <v>2009</v>
      </c>
      <c r="B14" s="103">
        <f>Var_pib_anual!B14</f>
        <v>-1.2999999999999999E-3</v>
      </c>
      <c r="C14" s="103">
        <f>Var_pop_anual!C14</f>
        <v>9.8506844584881278E-3</v>
      </c>
      <c r="D14" s="103"/>
    </row>
    <row r="15" spans="1:11" x14ac:dyDescent="0.25">
      <c r="A15" s="104">
        <v>2010</v>
      </c>
      <c r="B15" s="98">
        <f>Var_pib_anual!B15</f>
        <v>7.5300000000000006E-2</v>
      </c>
      <c r="C15" s="98">
        <f>Var_pop_anual!C15</f>
        <v>1.7808861397625442E-2</v>
      </c>
      <c r="D15" s="98"/>
      <c r="E15" s="2"/>
    </row>
    <row r="16" spans="1:11" x14ac:dyDescent="0.25">
      <c r="A16" s="105">
        <v>2011</v>
      </c>
      <c r="B16" s="103">
        <f>Var_pib_anual!B16</f>
        <v>3.9699999999999999E-2</v>
      </c>
      <c r="C16" s="103">
        <f>Var_pop_anual!C16</f>
        <v>8.7897994014921651E-3</v>
      </c>
      <c r="D16" s="103"/>
      <c r="E16" s="2"/>
      <c r="I16" s="5"/>
      <c r="J16" s="5"/>
      <c r="K16" s="5"/>
    </row>
    <row r="17" spans="1:11" x14ac:dyDescent="0.25">
      <c r="A17" s="104">
        <v>2012</v>
      </c>
      <c r="B17" s="98">
        <f>Var_pib_anual!B17</f>
        <v>1.9199999999999998E-2</v>
      </c>
      <c r="C17" s="98">
        <f>Var_pop_anual!C17</f>
        <v>8.7038123976202041E-3</v>
      </c>
      <c r="D17" s="98"/>
      <c r="E17" s="2"/>
      <c r="F17" s="5"/>
      <c r="G17" s="5"/>
      <c r="H17" s="5"/>
      <c r="I17" s="5"/>
      <c r="J17" s="5"/>
      <c r="K17" s="5"/>
    </row>
    <row r="18" spans="1:11" x14ac:dyDescent="0.25">
      <c r="A18" s="105">
        <v>2013</v>
      </c>
      <c r="B18" s="103">
        <f>Var_pib_anual!B18</f>
        <v>0.03</v>
      </c>
      <c r="C18" s="103">
        <f>Var_pop_anual!C18</f>
        <v>8.5180372749941256E-3</v>
      </c>
      <c r="D18" s="103">
        <f>'Tabela 1'!E7</f>
        <v>-3.0665986835953066E-2</v>
      </c>
      <c r="E18" s="2"/>
      <c r="F18" s="5"/>
      <c r="G18" s="5"/>
      <c r="H18" s="5"/>
      <c r="I18" s="5"/>
      <c r="J18" s="5"/>
      <c r="K18" s="5"/>
    </row>
    <row r="19" spans="1:11" x14ac:dyDescent="0.25">
      <c r="A19" s="104">
        <v>2014</v>
      </c>
      <c r="B19" s="98">
        <f>Var_pib_anual!B19</f>
        <v>5.0000000000000001E-3</v>
      </c>
      <c r="C19" s="98">
        <f>Var_pop_anual!C19</f>
        <v>8.5665856156972066E-3</v>
      </c>
      <c r="D19" s="98">
        <f>'Tabela 1'!E8</f>
        <v>-1.8549940704886095E-2</v>
      </c>
      <c r="E19" s="2"/>
    </row>
    <row r="20" spans="1:11" x14ac:dyDescent="0.25">
      <c r="A20" s="105">
        <v>2015</v>
      </c>
      <c r="B20" s="103">
        <f>Var_pib_anual!B20</f>
        <v>-3.5499999999999997E-2</v>
      </c>
      <c r="C20" s="103">
        <f>Var_pop_anual!C20</f>
        <v>8.7158607589807972E-3</v>
      </c>
      <c r="D20" s="103">
        <f>'Tabela 1'!E9</f>
        <v>-6.3606443375281665E-2</v>
      </c>
      <c r="E20" s="2"/>
    </row>
    <row r="21" spans="1:11" x14ac:dyDescent="0.25">
      <c r="A21" s="104">
        <v>2016</v>
      </c>
      <c r="B21" s="98">
        <f>Var_pib_anual!B21</f>
        <v>-3.3099999999999997E-2</v>
      </c>
      <c r="C21" s="98">
        <f>Var_pop_anual!C21</f>
        <v>8.2609576496666687E-3</v>
      </c>
      <c r="D21" s="98">
        <f>'Tabela 1'!E10</f>
        <v>-0.11175068516582151</v>
      </c>
      <c r="E21" s="2"/>
    </row>
    <row r="22" spans="1:11" x14ac:dyDescent="0.25">
      <c r="A22" s="105">
        <v>2017</v>
      </c>
      <c r="B22" s="103">
        <f>Var_pib_anual!B22</f>
        <v>1.06E-2</v>
      </c>
      <c r="C22" s="103">
        <f>Var_pop_anual!C22</f>
        <v>8.0336392026252607E-3</v>
      </c>
      <c r="D22" s="103">
        <f>'Tabela 1'!E11</f>
        <v>-2.9043759478785059E-2</v>
      </c>
      <c r="E22" s="2"/>
    </row>
    <row r="23" spans="1:11" x14ac:dyDescent="0.25">
      <c r="A23" s="104">
        <v>2018</v>
      </c>
      <c r="B23" s="98">
        <f>Var_pib_anual!B23</f>
        <v>1.12E-2</v>
      </c>
      <c r="C23" s="98">
        <f>Var_pop_anual!C23</f>
        <v>8.1727284965870291E-3</v>
      </c>
      <c r="D23" s="98">
        <f>'Tabela 1'!E12</f>
        <v>4.3069566017946599E-2</v>
      </c>
      <c r="E23" s="2"/>
    </row>
    <row r="24" spans="1:11" x14ac:dyDescent="0.25">
      <c r="A24" s="105">
        <v>2019</v>
      </c>
      <c r="B24" s="103">
        <f>Var_pib_anual!B24</f>
        <v>1.14E-2</v>
      </c>
      <c r="C24" s="103">
        <f>Var_pop_anual!C24</f>
        <v>7.9245343651091708E-3</v>
      </c>
      <c r="D24" s="103">
        <f>'Tabela 1'!E13</f>
        <v>2.9449555331707903E-2</v>
      </c>
      <c r="E24" s="2"/>
    </row>
    <row r="25" spans="1:11" x14ac:dyDescent="0.25">
      <c r="A25" s="104">
        <v>2020</v>
      </c>
      <c r="B25" s="98">
        <f>Var_pib_anual!B25</f>
        <v>-4.1000000000000002E-2</v>
      </c>
      <c r="C25" s="98">
        <f>Var_pop_anual!C25</f>
        <v>7.6544801647893115E-3</v>
      </c>
      <c r="D25" s="98">
        <f>'Tabela 1'!E14</f>
        <v>-0.53701017665870165</v>
      </c>
      <c r="E25" s="2"/>
    </row>
    <row r="26" spans="1:11" x14ac:dyDescent="0.25">
      <c r="A26" s="105">
        <v>2021</v>
      </c>
      <c r="B26" s="103">
        <v>3.3000000000000002E-2</v>
      </c>
      <c r="C26" s="103">
        <f>Var_pop_anual!C26</f>
        <v>7.3761748043117536E-3</v>
      </c>
      <c r="D26" s="103"/>
      <c r="E26" s="2"/>
    </row>
    <row r="27" spans="1:11" x14ac:dyDescent="0.25">
      <c r="A27" s="104">
        <v>2022</v>
      </c>
      <c r="B27" s="98">
        <v>2.5000000000000001E-2</v>
      </c>
      <c r="C27" s="98">
        <f>Var_pop_anual!C27</f>
        <v>7.0828695042888601E-3</v>
      </c>
      <c r="D27" s="98"/>
      <c r="E27" s="2"/>
    </row>
    <row r="28" spans="1:11" x14ac:dyDescent="0.25">
      <c r="A28" s="105">
        <v>2023</v>
      </c>
      <c r="B28" s="103">
        <v>2.5000000000000001E-2</v>
      </c>
      <c r="C28" s="103">
        <f>Var_pop_anual!C28</f>
        <v>6.7762365279771487E-3</v>
      </c>
      <c r="D28" s="103"/>
      <c r="E28" s="2"/>
    </row>
    <row r="29" spans="1:11" x14ac:dyDescent="0.25">
      <c r="A29" s="104">
        <v>2024</v>
      </c>
      <c r="B29" s="98">
        <v>2.5000000000000001E-2</v>
      </c>
      <c r="C29" s="98">
        <f>Var_pop_anual!C29</f>
        <v>6.4738550171672448E-3</v>
      </c>
      <c r="D29" s="98"/>
      <c r="E29" s="2"/>
    </row>
    <row r="30" spans="1:11" x14ac:dyDescent="0.25">
      <c r="A30" s="105">
        <v>2025</v>
      </c>
      <c r="B30" s="103"/>
      <c r="C30" s="103">
        <f>Var_pop_anual!C30</f>
        <v>6.1769727965241723E-3</v>
      </c>
      <c r="D30" s="103"/>
      <c r="E30" s="2"/>
    </row>
    <row r="31" spans="1:11" x14ac:dyDescent="0.25">
      <c r="A31" s="104">
        <v>2026</v>
      </c>
      <c r="B31" s="98"/>
      <c r="C31" s="98">
        <f>Var_pop_anual!C31</f>
        <v>5.8779269108328001E-3</v>
      </c>
      <c r="D31" s="98"/>
      <c r="E31" s="2"/>
    </row>
    <row r="32" spans="1:11" x14ac:dyDescent="0.25">
      <c r="A32" s="105">
        <v>2027</v>
      </c>
      <c r="B32" s="103"/>
      <c r="C32" s="103">
        <f>Var_pop_anual!C32</f>
        <v>5.5769941547281991E-3</v>
      </c>
      <c r="D32" s="103"/>
      <c r="E32" s="2"/>
    </row>
    <row r="33" spans="1:5" x14ac:dyDescent="0.25">
      <c r="A33" s="104">
        <v>2028</v>
      </c>
      <c r="B33" s="98"/>
      <c r="C33" s="98">
        <f>Var_pop_anual!C33</f>
        <v>5.2740245362263129E-3</v>
      </c>
      <c r="D33" s="98"/>
      <c r="E33" s="2"/>
    </row>
    <row r="34" spans="1:5" x14ac:dyDescent="0.25">
      <c r="A34" s="105">
        <v>2029</v>
      </c>
      <c r="B34" s="103"/>
      <c r="C34" s="103">
        <f>Var_pop_anual!C34</f>
        <v>4.9733633547207196E-3</v>
      </c>
      <c r="D34" s="103"/>
      <c r="E34" s="2"/>
    </row>
    <row r="35" spans="1:5" x14ac:dyDescent="0.25">
      <c r="A35" s="104">
        <v>2030</v>
      </c>
      <c r="B35" s="98"/>
      <c r="C35" s="98">
        <f>Var_pop_anual!C35</f>
        <v>4.6785403203685192E-3</v>
      </c>
      <c r="D35" s="98"/>
      <c r="E35" s="2"/>
    </row>
    <row r="36" spans="1:5" x14ac:dyDescent="0.25">
      <c r="A36" s="105">
        <v>2031</v>
      </c>
      <c r="B36" s="103"/>
      <c r="C36" s="103">
        <f>Var_pop_anual!C36</f>
        <v>4.3845766152836498E-3</v>
      </c>
      <c r="D36" s="103"/>
    </row>
    <row r="37" spans="1:5" x14ac:dyDescent="0.25">
      <c r="A37" s="104">
        <v>2032</v>
      </c>
      <c r="B37" s="98"/>
      <c r="C37" s="98">
        <f>Var_pop_anual!C37</f>
        <v>4.0884168680076502E-3</v>
      </c>
      <c r="D37" s="98"/>
    </row>
    <row r="38" spans="1:5" x14ac:dyDescent="0.25">
      <c r="A38" s="105">
        <v>2033</v>
      </c>
      <c r="B38" s="103"/>
      <c r="C38" s="103">
        <f>Var_pop_anual!C38</f>
        <v>3.7956933721405412E-3</v>
      </c>
      <c r="D38" s="103"/>
    </row>
    <row r="39" spans="1:5" x14ac:dyDescent="0.25">
      <c r="A39" s="104">
        <v>2034</v>
      </c>
      <c r="B39" s="98"/>
      <c r="C39" s="98">
        <f>Var_pop_anual!C39</f>
        <v>3.5079334816271765E-3</v>
      </c>
      <c r="D39" s="98"/>
    </row>
    <row r="40" spans="1:5" x14ac:dyDescent="0.25">
      <c r="A40" s="105">
        <v>2035</v>
      </c>
      <c r="B40" s="103"/>
      <c r="C40" s="103">
        <f>Var_pop_anual!C40</f>
        <v>3.2243577293886586E-3</v>
      </c>
      <c r="D40" s="103"/>
    </row>
    <row r="41" spans="1:5" x14ac:dyDescent="0.25">
      <c r="A41" s="104">
        <v>2036</v>
      </c>
      <c r="B41" s="98"/>
      <c r="C41" s="98">
        <f>Var_pop_anual!C41</f>
        <v>2.941642274504597E-3</v>
      </c>
      <c r="D41" s="98"/>
    </row>
    <row r="42" spans="1:5" x14ac:dyDescent="0.25">
      <c r="A42" s="105">
        <v>2037</v>
      </c>
      <c r="B42" s="103"/>
      <c r="C42" s="103">
        <f>Var_pop_anual!C42</f>
        <v>2.6592811195191085E-3</v>
      </c>
      <c r="D42" s="103"/>
    </row>
    <row r="43" spans="1:5" x14ac:dyDescent="0.25">
      <c r="A43" s="104">
        <v>2038</v>
      </c>
      <c r="B43" s="98"/>
      <c r="C43" s="98">
        <f>Var_pop_anual!C43</f>
        <v>2.381373052711635E-3</v>
      </c>
      <c r="D43" s="98"/>
    </row>
    <row r="44" spans="1:5" x14ac:dyDescent="0.25">
      <c r="A44" s="105">
        <v>2039</v>
      </c>
      <c r="B44" s="103"/>
      <c r="C44" s="103">
        <f>Var_pop_anual!C44</f>
        <v>2.1071965985089746E-3</v>
      </c>
      <c r="D44" s="103"/>
    </row>
    <row r="45" spans="1:5" x14ac:dyDescent="0.25">
      <c r="A45" s="104">
        <v>2040</v>
      </c>
      <c r="B45" s="98"/>
      <c r="C45" s="98">
        <f>Var_pop_anual!C45</f>
        <v>1.8370705327315339E-3</v>
      </c>
      <c r="D45" s="98"/>
    </row>
    <row r="46" spans="1:5" x14ac:dyDescent="0.25">
      <c r="A46" s="105">
        <v>2041</v>
      </c>
      <c r="B46" s="103"/>
      <c r="C46" s="103">
        <f>Var_pop_anual!C46</f>
        <v>1.5708482344177401E-3</v>
      </c>
      <c r="D46" s="103"/>
    </row>
    <row r="47" spans="1:5" x14ac:dyDescent="0.25">
      <c r="A47" s="104">
        <v>2042</v>
      </c>
      <c r="B47" s="98"/>
      <c r="C47" s="98">
        <f>Var_pop_anual!C47</f>
        <v>1.3102352926382223E-3</v>
      </c>
      <c r="D47" s="98"/>
    </row>
    <row r="48" spans="1:5" x14ac:dyDescent="0.25">
      <c r="A48" s="105">
        <v>2043</v>
      </c>
      <c r="B48" s="103"/>
      <c r="C48" s="103">
        <f>Var_pop_anual!C48</f>
        <v>1.055447348274795E-3</v>
      </c>
      <c r="D48" s="103"/>
    </row>
    <row r="49" spans="1:4" x14ac:dyDescent="0.25">
      <c r="A49" s="104">
        <v>2044</v>
      </c>
      <c r="B49" s="98"/>
      <c r="C49" s="98">
        <f>Var_pop_anual!C49</f>
        <v>8.0285073406247489E-4</v>
      </c>
      <c r="D49" s="98"/>
    </row>
    <row r="50" spans="1:4" x14ac:dyDescent="0.25">
      <c r="A50" s="105">
        <v>2045</v>
      </c>
      <c r="B50" s="103"/>
      <c r="C50" s="103">
        <f>Var_pop_anual!C50</f>
        <v>5.5200605184950804E-4</v>
      </c>
      <c r="D50" s="103"/>
    </row>
    <row r="51" spans="1:4" x14ac:dyDescent="0.25">
      <c r="A51" s="104">
        <v>2046</v>
      </c>
      <c r="B51" s="98"/>
      <c r="C51" s="98">
        <f>Var_pop_anual!C51</f>
        <v>3.0294708816280532E-4</v>
      </c>
      <c r="D51" s="98"/>
    </row>
    <row r="52" spans="1:4" x14ac:dyDescent="0.25">
      <c r="A52" s="105">
        <v>2047</v>
      </c>
      <c r="B52" s="103"/>
      <c r="C52" s="103">
        <f>Var_pop_anual!C52</f>
        <v>5.7512156844934787E-5</v>
      </c>
      <c r="D52" s="103"/>
    </row>
    <row r="53" spans="1:4" x14ac:dyDescent="0.25">
      <c r="A53" s="104">
        <v>2048</v>
      </c>
      <c r="B53" s="98"/>
      <c r="C53" s="98">
        <f>Var_pop_anual!C53</f>
        <v>-1.8517052019118851E-4</v>
      </c>
      <c r="D53" s="98"/>
    </row>
    <row r="54" spans="1:4" x14ac:dyDescent="0.25">
      <c r="A54" s="105">
        <v>2049</v>
      </c>
      <c r="B54" s="103"/>
      <c r="C54" s="103">
        <f>Var_pop_anual!C54</f>
        <v>-4.2891115941859066E-4</v>
      </c>
      <c r="D54" s="103"/>
    </row>
    <row r="55" spans="1:4" x14ac:dyDescent="0.25">
      <c r="A55" s="104">
        <v>2050</v>
      </c>
      <c r="B55" s="98"/>
      <c r="C55" s="98">
        <f>Var_pop_anual!C55</f>
        <v>-6.7436478225037981E-4</v>
      </c>
      <c r="D55" s="98"/>
    </row>
    <row r="56" spans="1:4" x14ac:dyDescent="0.25">
      <c r="A56" s="105">
        <v>2051</v>
      </c>
      <c r="B56" s="103"/>
      <c r="C56" s="103">
        <f>Var_pop_anual!C56</f>
        <v>-9.1917738709002656E-4</v>
      </c>
      <c r="D56" s="103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BB327-7F73-4230-8CA6-C4C63205C6F8}">
  <dimension ref="A1:L35"/>
  <sheetViews>
    <sheetView zoomScale="80" zoomScaleNormal="80"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5.140625" customWidth="1"/>
    <col min="4" max="4" width="14.42578125" bestFit="1" customWidth="1"/>
    <col min="5" max="5" width="13.14062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</row>
    <row r="2" spans="1:12" x14ac:dyDescent="0.25">
      <c r="B2" s="151"/>
    </row>
    <row r="4" spans="1:12" ht="25.5" x14ac:dyDescent="0.25">
      <c r="A4" s="79" t="s">
        <v>360</v>
      </c>
      <c r="B4" s="79" t="s">
        <v>30</v>
      </c>
      <c r="C4" s="79" t="s">
        <v>304</v>
      </c>
      <c r="D4" s="79" t="s">
        <v>323</v>
      </c>
      <c r="E4" s="79" t="s">
        <v>305</v>
      </c>
    </row>
    <row r="5" spans="1:12" x14ac:dyDescent="0.25">
      <c r="A5" s="106">
        <v>0</v>
      </c>
      <c r="B5" s="104">
        <v>2021</v>
      </c>
      <c r="C5" s="98">
        <v>0</v>
      </c>
      <c r="D5" s="98">
        <v>0.05</v>
      </c>
      <c r="E5" s="98">
        <v>0.1</v>
      </c>
      <c r="F5" s="5"/>
    </row>
    <row r="6" spans="1:12" x14ac:dyDescent="0.25">
      <c r="A6" s="107">
        <f>A5+1</f>
        <v>1</v>
      </c>
      <c r="B6" s="105">
        <v>2022</v>
      </c>
      <c r="C6" s="103">
        <v>0.05</v>
      </c>
      <c r="D6" s="103">
        <v>0.1</v>
      </c>
      <c r="E6" s="103">
        <v>0.2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98">
        <v>7.4999999999999997E-2</v>
      </c>
      <c r="D7" s="98">
        <v>0.15</v>
      </c>
      <c r="E7" s="98">
        <v>0.3</v>
      </c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103">
        <v>0.1</v>
      </c>
      <c r="D8" s="103">
        <v>0.15</v>
      </c>
      <c r="E8" s="103">
        <v>0.3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98">
        <v>0.125</v>
      </c>
      <c r="D9" s="98">
        <v>0.2</v>
      </c>
      <c r="E9" s="98">
        <v>0.03</v>
      </c>
    </row>
    <row r="10" spans="1:12" x14ac:dyDescent="0.25">
      <c r="A10" s="107">
        <f t="shared" si="0"/>
        <v>5</v>
      </c>
      <c r="B10" s="105">
        <v>2026</v>
      </c>
      <c r="C10" s="103">
        <v>0.15</v>
      </c>
      <c r="D10" s="103">
        <v>0.2</v>
      </c>
      <c r="E10" s="103">
        <f>E9</f>
        <v>0.03</v>
      </c>
    </row>
    <row r="11" spans="1:12" x14ac:dyDescent="0.25">
      <c r="A11" s="106">
        <f t="shared" si="0"/>
        <v>6</v>
      </c>
      <c r="B11" s="104">
        <v>2027</v>
      </c>
      <c r="C11" s="98">
        <v>0.17499999999999999</v>
      </c>
      <c r="D11" s="98">
        <v>2.4E-2</v>
      </c>
      <c r="E11" s="98">
        <f t="shared" ref="E11:E18" si="1">E10</f>
        <v>0.03</v>
      </c>
    </row>
    <row r="12" spans="1:12" x14ac:dyDescent="0.25">
      <c r="A12" s="107">
        <f t="shared" si="0"/>
        <v>7</v>
      </c>
      <c r="B12" s="105">
        <v>2028</v>
      </c>
      <c r="C12" s="103">
        <v>0.2</v>
      </c>
      <c r="D12" s="103">
        <f>D11</f>
        <v>2.4E-2</v>
      </c>
      <c r="E12" s="103">
        <f t="shared" si="1"/>
        <v>0.03</v>
      </c>
    </row>
    <row r="13" spans="1:12" x14ac:dyDescent="0.25">
      <c r="A13" s="106">
        <f t="shared" si="0"/>
        <v>8</v>
      </c>
      <c r="B13" s="104">
        <v>2029</v>
      </c>
      <c r="C13" s="98">
        <v>1.4999999999999999E-2</v>
      </c>
      <c r="D13" s="98">
        <f t="shared" ref="D13:D20" si="2">D12</f>
        <v>2.4E-2</v>
      </c>
      <c r="E13" s="98">
        <f t="shared" si="1"/>
        <v>0.03</v>
      </c>
    </row>
    <row r="14" spans="1:12" x14ac:dyDescent="0.25">
      <c r="A14" s="107">
        <f t="shared" si="0"/>
        <v>9</v>
      </c>
      <c r="B14" s="105">
        <v>2030</v>
      </c>
      <c r="C14" s="103">
        <f>C13</f>
        <v>1.4999999999999999E-2</v>
      </c>
      <c r="D14" s="103">
        <f t="shared" si="2"/>
        <v>2.4E-2</v>
      </c>
      <c r="E14" s="103">
        <f t="shared" si="1"/>
        <v>0.03</v>
      </c>
    </row>
    <row r="15" spans="1:12" x14ac:dyDescent="0.25">
      <c r="A15" s="106">
        <f t="shared" si="0"/>
        <v>10</v>
      </c>
      <c r="B15" s="104">
        <v>2031</v>
      </c>
      <c r="C15" s="98">
        <f t="shared" ref="C15:C22" si="3">C14</f>
        <v>1.4999999999999999E-2</v>
      </c>
      <c r="D15" s="98">
        <f t="shared" si="2"/>
        <v>2.4E-2</v>
      </c>
      <c r="E15" s="98">
        <f t="shared" si="1"/>
        <v>0.03</v>
      </c>
    </row>
    <row r="16" spans="1:12" x14ac:dyDescent="0.25">
      <c r="A16" s="107">
        <f t="shared" si="0"/>
        <v>11</v>
      </c>
      <c r="B16" s="105">
        <v>2032</v>
      </c>
      <c r="C16" s="103">
        <f t="shared" si="3"/>
        <v>1.4999999999999999E-2</v>
      </c>
      <c r="D16" s="103">
        <f t="shared" si="2"/>
        <v>2.4E-2</v>
      </c>
      <c r="E16" s="103">
        <f t="shared" si="1"/>
        <v>0.03</v>
      </c>
    </row>
    <row r="17" spans="1:5" x14ac:dyDescent="0.25">
      <c r="A17" s="106">
        <f t="shared" si="0"/>
        <v>12</v>
      </c>
      <c r="B17" s="104">
        <v>2033</v>
      </c>
      <c r="C17" s="98">
        <f t="shared" si="3"/>
        <v>1.4999999999999999E-2</v>
      </c>
      <c r="D17" s="98">
        <f t="shared" si="2"/>
        <v>2.4E-2</v>
      </c>
      <c r="E17" s="98">
        <f t="shared" si="1"/>
        <v>0.03</v>
      </c>
    </row>
    <row r="18" spans="1:5" x14ac:dyDescent="0.25">
      <c r="A18" s="107">
        <f t="shared" si="0"/>
        <v>13</v>
      </c>
      <c r="B18" s="105">
        <v>2034</v>
      </c>
      <c r="C18" s="103">
        <f t="shared" si="3"/>
        <v>1.4999999999999999E-2</v>
      </c>
      <c r="D18" s="103">
        <f t="shared" si="2"/>
        <v>2.4E-2</v>
      </c>
      <c r="E18" s="103">
        <f t="shared" si="1"/>
        <v>0.03</v>
      </c>
    </row>
    <row r="19" spans="1:5" x14ac:dyDescent="0.25">
      <c r="A19" s="106">
        <f t="shared" si="0"/>
        <v>14</v>
      </c>
      <c r="B19" s="104">
        <v>2035</v>
      </c>
      <c r="C19" s="98">
        <f t="shared" si="3"/>
        <v>1.4999999999999999E-2</v>
      </c>
      <c r="D19" s="98">
        <f t="shared" si="2"/>
        <v>2.4E-2</v>
      </c>
      <c r="E19" s="98">
        <f>Var_pop_anual!C40</f>
        <v>3.2243577293886586E-3</v>
      </c>
    </row>
    <row r="20" spans="1:5" x14ac:dyDescent="0.25">
      <c r="A20" s="107">
        <f t="shared" si="0"/>
        <v>15</v>
      </c>
      <c r="B20" s="105">
        <v>2036</v>
      </c>
      <c r="C20" s="103">
        <f t="shared" si="3"/>
        <v>1.4999999999999999E-2</v>
      </c>
      <c r="D20" s="103">
        <f t="shared" si="2"/>
        <v>2.4E-2</v>
      </c>
      <c r="E20" s="103">
        <f>Var_pop_anual!C41</f>
        <v>2.941642274504597E-3</v>
      </c>
    </row>
    <row r="21" spans="1:5" x14ac:dyDescent="0.25">
      <c r="A21" s="106">
        <f t="shared" si="0"/>
        <v>16</v>
      </c>
      <c r="B21" s="104">
        <v>2037</v>
      </c>
      <c r="C21" s="98">
        <f t="shared" si="3"/>
        <v>1.4999999999999999E-2</v>
      </c>
      <c r="D21" s="98">
        <f t="shared" ref="D21" si="4">E21</f>
        <v>2.6592811195191085E-3</v>
      </c>
      <c r="E21" s="98">
        <f>Var_pop_anual!C42</f>
        <v>2.6592811195191085E-3</v>
      </c>
    </row>
    <row r="22" spans="1:5" x14ac:dyDescent="0.25">
      <c r="A22" s="107">
        <f t="shared" si="0"/>
        <v>17</v>
      </c>
      <c r="B22" s="105">
        <v>2038</v>
      </c>
      <c r="C22" s="103">
        <f t="shared" si="3"/>
        <v>1.4999999999999999E-2</v>
      </c>
      <c r="D22" s="103">
        <f t="shared" ref="D22:D35" si="5">E22</f>
        <v>2.381373052711635E-3</v>
      </c>
      <c r="E22" s="103">
        <f>Var_pop_anual!C43</f>
        <v>2.381373052711635E-3</v>
      </c>
    </row>
    <row r="23" spans="1:5" x14ac:dyDescent="0.25">
      <c r="A23" s="106">
        <f t="shared" si="0"/>
        <v>18</v>
      </c>
      <c r="B23" s="104">
        <v>2039</v>
      </c>
      <c r="C23" s="98">
        <f t="shared" ref="C23:C35" si="6">E23</f>
        <v>2.1071965985089746E-3</v>
      </c>
      <c r="D23" s="98">
        <f t="shared" si="5"/>
        <v>2.1071965985089746E-3</v>
      </c>
      <c r="E23" s="98">
        <f>Var_pop_anual!C44</f>
        <v>2.1071965985089746E-3</v>
      </c>
    </row>
    <row r="24" spans="1:5" x14ac:dyDescent="0.25">
      <c r="A24" s="107">
        <f t="shared" si="0"/>
        <v>19</v>
      </c>
      <c r="B24" s="105">
        <v>2040</v>
      </c>
      <c r="C24" s="103">
        <f t="shared" si="6"/>
        <v>1.8370705327315339E-3</v>
      </c>
      <c r="D24" s="103">
        <f t="shared" si="5"/>
        <v>1.8370705327315339E-3</v>
      </c>
      <c r="E24" s="103">
        <f>Var_pop_anual!C45</f>
        <v>1.8370705327315339E-3</v>
      </c>
    </row>
    <row r="25" spans="1:5" x14ac:dyDescent="0.25">
      <c r="A25" s="106">
        <f t="shared" si="0"/>
        <v>20</v>
      </c>
      <c r="B25" s="104">
        <v>2041</v>
      </c>
      <c r="C25" s="98">
        <f t="shared" si="6"/>
        <v>1.5708482344177401E-3</v>
      </c>
      <c r="D25" s="98">
        <f t="shared" si="5"/>
        <v>1.5708482344177401E-3</v>
      </c>
      <c r="E25" s="98">
        <f>Var_pop_anual!C46</f>
        <v>1.5708482344177401E-3</v>
      </c>
    </row>
    <row r="26" spans="1:5" x14ac:dyDescent="0.25">
      <c r="A26" s="107">
        <f t="shared" si="0"/>
        <v>21</v>
      </c>
      <c r="B26" s="105">
        <v>2042</v>
      </c>
      <c r="C26" s="103">
        <f t="shared" si="6"/>
        <v>1.3102352926382223E-3</v>
      </c>
      <c r="D26" s="103">
        <f t="shared" si="5"/>
        <v>1.3102352926382223E-3</v>
      </c>
      <c r="E26" s="103">
        <f>Var_pop_anual!C47</f>
        <v>1.3102352926382223E-3</v>
      </c>
    </row>
    <row r="27" spans="1:5" x14ac:dyDescent="0.25">
      <c r="A27" s="106">
        <f t="shared" si="0"/>
        <v>22</v>
      </c>
      <c r="B27" s="104">
        <v>2043</v>
      </c>
      <c r="C27" s="98">
        <f t="shared" si="6"/>
        <v>1.055447348274795E-3</v>
      </c>
      <c r="D27" s="98">
        <f t="shared" si="5"/>
        <v>1.055447348274795E-3</v>
      </c>
      <c r="E27" s="98">
        <f>Var_pop_anual!C48</f>
        <v>1.055447348274795E-3</v>
      </c>
    </row>
    <row r="28" spans="1:5" x14ac:dyDescent="0.25">
      <c r="A28" s="107">
        <f t="shared" si="0"/>
        <v>23</v>
      </c>
      <c r="B28" s="105">
        <v>2044</v>
      </c>
      <c r="C28" s="103">
        <f t="shared" si="6"/>
        <v>8.0285073406247489E-4</v>
      </c>
      <c r="D28" s="103">
        <f t="shared" si="5"/>
        <v>8.0285073406247489E-4</v>
      </c>
      <c r="E28" s="103">
        <f>Var_pop_anual!C49</f>
        <v>8.0285073406247489E-4</v>
      </c>
    </row>
    <row r="29" spans="1:5" x14ac:dyDescent="0.25">
      <c r="A29" s="106">
        <f t="shared" si="0"/>
        <v>24</v>
      </c>
      <c r="B29" s="104">
        <v>2045</v>
      </c>
      <c r="C29" s="98">
        <f t="shared" si="6"/>
        <v>5.5200605184950804E-4</v>
      </c>
      <c r="D29" s="98">
        <f t="shared" si="5"/>
        <v>5.5200605184950804E-4</v>
      </c>
      <c r="E29" s="98">
        <f>Var_pop_anual!C50</f>
        <v>5.5200605184950804E-4</v>
      </c>
    </row>
    <row r="30" spans="1:5" x14ac:dyDescent="0.25">
      <c r="A30" s="107">
        <f t="shared" si="0"/>
        <v>25</v>
      </c>
      <c r="B30" s="105">
        <v>2046</v>
      </c>
      <c r="C30" s="103">
        <f t="shared" si="6"/>
        <v>3.0294708816280532E-4</v>
      </c>
      <c r="D30" s="103">
        <f t="shared" si="5"/>
        <v>3.0294708816280532E-4</v>
      </c>
      <c r="E30" s="103">
        <f>Var_pop_anual!C51</f>
        <v>3.0294708816280532E-4</v>
      </c>
    </row>
    <row r="31" spans="1:5" x14ac:dyDescent="0.25">
      <c r="A31" s="106">
        <f t="shared" si="0"/>
        <v>26</v>
      </c>
      <c r="B31" s="104">
        <v>2047</v>
      </c>
      <c r="C31" s="98">
        <f t="shared" si="6"/>
        <v>5.7512156844934787E-5</v>
      </c>
      <c r="D31" s="98">
        <f t="shared" si="5"/>
        <v>5.7512156844934787E-5</v>
      </c>
      <c r="E31" s="98">
        <f>Var_pop_anual!C52</f>
        <v>5.7512156844934787E-5</v>
      </c>
    </row>
    <row r="32" spans="1:5" x14ac:dyDescent="0.25">
      <c r="A32" s="107">
        <f t="shared" si="0"/>
        <v>27</v>
      </c>
      <c r="B32" s="105">
        <v>2048</v>
      </c>
      <c r="C32" s="103">
        <f t="shared" si="6"/>
        <v>-1.8517052019118851E-4</v>
      </c>
      <c r="D32" s="103">
        <f t="shared" si="5"/>
        <v>-1.8517052019118851E-4</v>
      </c>
      <c r="E32" s="103">
        <f>Var_pop_anual!C53</f>
        <v>-1.8517052019118851E-4</v>
      </c>
    </row>
    <row r="33" spans="1:5" x14ac:dyDescent="0.25">
      <c r="A33" s="106">
        <f t="shared" si="0"/>
        <v>28</v>
      </c>
      <c r="B33" s="104">
        <v>2049</v>
      </c>
      <c r="C33" s="98">
        <f t="shared" si="6"/>
        <v>-4.2891115941859066E-4</v>
      </c>
      <c r="D33" s="98">
        <f t="shared" si="5"/>
        <v>-4.2891115941859066E-4</v>
      </c>
      <c r="E33" s="98">
        <f>Var_pop_anual!C54</f>
        <v>-4.2891115941859066E-4</v>
      </c>
    </row>
    <row r="34" spans="1:5" x14ac:dyDescent="0.25">
      <c r="A34" s="107">
        <f t="shared" si="0"/>
        <v>29</v>
      </c>
      <c r="B34" s="105">
        <v>2050</v>
      </c>
      <c r="C34" s="103">
        <f t="shared" si="6"/>
        <v>-6.7436478225037981E-4</v>
      </c>
      <c r="D34" s="103">
        <f t="shared" si="5"/>
        <v>-6.7436478225037981E-4</v>
      </c>
      <c r="E34" s="103">
        <f>Var_pop_anual!C55</f>
        <v>-6.7436478225037981E-4</v>
      </c>
    </row>
    <row r="35" spans="1:5" x14ac:dyDescent="0.25">
      <c r="A35" s="106">
        <f t="shared" si="0"/>
        <v>30</v>
      </c>
      <c r="B35" s="104">
        <v>2051</v>
      </c>
      <c r="C35" s="98">
        <f t="shared" si="6"/>
        <v>-9.1917738709002656E-4</v>
      </c>
      <c r="D35" s="98">
        <f t="shared" si="5"/>
        <v>-9.1917738709002656E-4</v>
      </c>
      <c r="E35" s="98">
        <f>Var_pop_anual!C56</f>
        <v>-9.1917738709002656E-4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73150-F457-4B0B-993A-128AA6929032}">
  <dimension ref="A1:L37"/>
  <sheetViews>
    <sheetView zoomScale="80" zoomScaleNormal="80"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551</v>
      </c>
    </row>
    <row r="2" spans="1:12" x14ac:dyDescent="0.25">
      <c r="B2" s="151"/>
    </row>
    <row r="4" spans="1:12" ht="25.5" x14ac:dyDescent="0.25">
      <c r="A4" s="110" t="s">
        <v>360</v>
      </c>
      <c r="B4" s="110" t="s">
        <v>30</v>
      </c>
      <c r="C4" s="110" t="s">
        <v>304</v>
      </c>
      <c r="D4" s="110" t="s">
        <v>323</v>
      </c>
      <c r="E4" s="110" t="s">
        <v>305</v>
      </c>
    </row>
    <row r="5" spans="1:12" x14ac:dyDescent="0.25">
      <c r="A5" s="106">
        <v>0</v>
      </c>
      <c r="B5" s="104">
        <v>2021</v>
      </c>
      <c r="C5" s="86">
        <f>Emb_Desemb_Conc_CP!E5</f>
        <v>3990663</v>
      </c>
      <c r="D5" s="86">
        <f>Emb_Desemb_Conc_CI!E5</f>
        <v>4190196.1500000004</v>
      </c>
      <c r="E5" s="86">
        <f>Emb_Desemb_Conc_CO!E5</f>
        <v>4389729.3</v>
      </c>
      <c r="F5" s="5"/>
    </row>
    <row r="6" spans="1:12" x14ac:dyDescent="0.25">
      <c r="A6" s="107">
        <f>A5+1</f>
        <v>1</v>
      </c>
      <c r="B6" s="105">
        <v>2022</v>
      </c>
      <c r="C6" s="87">
        <f>Emb_Desemb_Conc_CP!E6</f>
        <v>4190196.1500000004</v>
      </c>
      <c r="D6" s="87">
        <f>Emb_Desemb_Conc_CI!E6</f>
        <v>4609215.7650000006</v>
      </c>
      <c r="E6" s="87">
        <f>Emb_Desemb_Conc_CO!E6</f>
        <v>5267675.16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Emb_Desemb_Conc_CP!E7</f>
        <v>4504460.8612500001</v>
      </c>
      <c r="D7" s="86">
        <f>Emb_Desemb_Conc_CI!E7</f>
        <v>5300598.1297500003</v>
      </c>
      <c r="E7" s="86">
        <f>Emb_Desemb_Conc_CO!E7</f>
        <v>6847977.7079999996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Emb_Desemb_Conc_CP!E8</f>
        <v>4954906.9473749995</v>
      </c>
      <c r="D8" s="87">
        <f>Emb_Desemb_Conc_CI!E8</f>
        <v>6095687.8492125003</v>
      </c>
      <c r="E8" s="87">
        <f>Emb_Desemb_Conc_CO!E8</f>
        <v>8902371.0203999989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Emb_Desemb_Conc_CP!E9</f>
        <v>5574270.3157968745</v>
      </c>
      <c r="D9" s="86">
        <f>Emb_Desemb_Conc_CI!E9</f>
        <v>7314825.4190549999</v>
      </c>
      <c r="E9" s="86">
        <f>Emb_Desemb_Conc_CO!E9</f>
        <v>9169442.1510119997</v>
      </c>
    </row>
    <row r="10" spans="1:12" x14ac:dyDescent="0.25">
      <c r="A10" s="107">
        <f t="shared" si="0"/>
        <v>5</v>
      </c>
      <c r="B10" s="105">
        <v>2026</v>
      </c>
      <c r="C10" s="87">
        <f>Emb_Desemb_Conc_CP!E10</f>
        <v>6410410.8631664068</v>
      </c>
      <c r="D10" s="87">
        <f>Emb_Desemb_Conc_CI!E10</f>
        <v>8777790.5028659999</v>
      </c>
      <c r="E10" s="87">
        <f>Emb_Desemb_Conc_CO!E10</f>
        <v>9444525.4155423604</v>
      </c>
    </row>
    <row r="11" spans="1:12" x14ac:dyDescent="0.25">
      <c r="A11" s="106">
        <f t="shared" si="0"/>
        <v>6</v>
      </c>
      <c r="B11" s="104">
        <v>2027</v>
      </c>
      <c r="C11" s="86">
        <f>Emb_Desemb_Conc_CP!E11</f>
        <v>7532232.7642205274</v>
      </c>
      <c r="D11" s="86">
        <f>Emb_Desemb_Conc_CI!E11</f>
        <v>8988457.4749347866</v>
      </c>
      <c r="E11" s="86">
        <f>Emb_Desemb_Conc_CO!E11</f>
        <v>9727861.1780086309</v>
      </c>
    </row>
    <row r="12" spans="1:12" x14ac:dyDescent="0.25">
      <c r="A12" s="107">
        <f t="shared" si="0"/>
        <v>7</v>
      </c>
      <c r="B12" s="105">
        <v>2028</v>
      </c>
      <c r="C12" s="87">
        <f>Emb_Desemb_Conc_CP!E12</f>
        <v>9038679.3170646317</v>
      </c>
      <c r="D12" s="87">
        <f>Emb_Desemb_Conc_CI!E12</f>
        <v>9204180.4543332197</v>
      </c>
      <c r="E12" s="87">
        <f>Emb_Desemb_Conc_CO!E12</f>
        <v>10019697.01334889</v>
      </c>
    </row>
    <row r="13" spans="1:12" x14ac:dyDescent="0.25">
      <c r="A13" s="106">
        <f t="shared" si="0"/>
        <v>8</v>
      </c>
      <c r="B13" s="104">
        <v>2029</v>
      </c>
      <c r="C13" s="86">
        <f>Emb_Desemb_Conc_CP!E13</f>
        <v>9174259.5068206023</v>
      </c>
      <c r="D13" s="86">
        <f>Emb_Desemb_Conc_CI!E13</f>
        <v>9425080.7852372155</v>
      </c>
      <c r="E13" s="86">
        <f>Emb_Desemb_Conc_CO!E13</f>
        <v>10320287.923749357</v>
      </c>
    </row>
    <row r="14" spans="1:12" x14ac:dyDescent="0.25">
      <c r="A14" s="107">
        <f t="shared" si="0"/>
        <v>9</v>
      </c>
      <c r="B14" s="105">
        <v>2030</v>
      </c>
      <c r="C14" s="87">
        <f>Emb_Desemb_Conc_CP!E14</f>
        <v>9311873.3994229119</v>
      </c>
      <c r="D14" s="87">
        <f>Emb_Desemb_Conc_CI!E14</f>
        <v>9651282.7240829095</v>
      </c>
      <c r="E14" s="87">
        <f>Emb_Desemb_Conc_CO!E14</f>
        <v>10629896.561461836</v>
      </c>
    </row>
    <row r="15" spans="1:12" x14ac:dyDescent="0.25">
      <c r="A15" s="106">
        <f t="shared" si="0"/>
        <v>10</v>
      </c>
      <c r="B15" s="104">
        <v>2031</v>
      </c>
      <c r="C15" s="86">
        <f>Emb_Desemb_Conc_CP!E15</f>
        <v>9451551.500414256</v>
      </c>
      <c r="D15" s="86">
        <f>Emb_Desemb_Conc_CI!E15</f>
        <v>9882913.5094609</v>
      </c>
      <c r="E15" s="86">
        <f>Emb_Desemb_Conc_CO!E15</f>
        <v>10948793.458305692</v>
      </c>
    </row>
    <row r="16" spans="1:12" x14ac:dyDescent="0.25">
      <c r="A16" s="107">
        <f t="shared" si="0"/>
        <v>11</v>
      </c>
      <c r="B16" s="105">
        <v>2032</v>
      </c>
      <c r="C16" s="87">
        <f>Emb_Desemb_Conc_CP!E16</f>
        <v>9593324.7729204707</v>
      </c>
      <c r="D16" s="87">
        <f>Emb_Desemb_Conc_CI!E16</f>
        <v>10120103.433687959</v>
      </c>
      <c r="E16" s="87">
        <f>Emb_Desemb_Conc_CO!E16</f>
        <v>11277257.262054864</v>
      </c>
    </row>
    <row r="17" spans="1:5" x14ac:dyDescent="0.25">
      <c r="A17" s="106">
        <f t="shared" si="0"/>
        <v>12</v>
      </c>
      <c r="B17" s="104">
        <v>2033</v>
      </c>
      <c r="C17" s="86">
        <f>Emb_Desemb_Conc_CP!E17</f>
        <v>9737224.6445142776</v>
      </c>
      <c r="D17" s="86">
        <f>Emb_Desemb_Conc_CI!E17</f>
        <v>10362985.916096471</v>
      </c>
      <c r="E17" s="86">
        <f>Emb_Desemb_Conc_CO!E17</f>
        <v>11615574.979916509</v>
      </c>
    </row>
    <row r="18" spans="1:5" x14ac:dyDescent="0.25">
      <c r="A18" s="107">
        <f t="shared" si="0"/>
        <v>13</v>
      </c>
      <c r="B18" s="105">
        <v>2034</v>
      </c>
      <c r="C18" s="87">
        <f>Emb_Desemb_Conc_CP!E18</f>
        <v>9883283.0141819902</v>
      </c>
      <c r="D18" s="87">
        <f>Emb_Desemb_Conc_CI!E18</f>
        <v>10611697.578082785</v>
      </c>
      <c r="E18" s="87">
        <f>Emb_Desemb_Conc_CO!E18</f>
        <v>11964042.229314003</v>
      </c>
    </row>
    <row r="19" spans="1:5" x14ac:dyDescent="0.25">
      <c r="A19" s="106">
        <f t="shared" si="0"/>
        <v>14</v>
      </c>
      <c r="B19" s="104">
        <v>2035</v>
      </c>
      <c r="C19" s="86">
        <f>Emb_Desemb_Conc_CP!E19</f>
        <v>10031532.25939472</v>
      </c>
      <c r="D19" s="86">
        <f>Emb_Desemb_Conc_CI!E19</f>
        <v>10866378.319956772</v>
      </c>
      <c r="E19" s="86">
        <f>Emb_Desemb_Conc_CO!E19</f>
        <v>12002618.581350826</v>
      </c>
    </row>
    <row r="20" spans="1:5" x14ac:dyDescent="0.25">
      <c r="A20" s="107">
        <f t="shared" si="0"/>
        <v>15</v>
      </c>
      <c r="B20" s="105">
        <v>2036</v>
      </c>
      <c r="C20" s="87">
        <f>Emb_Desemb_Conc_CP!E20</f>
        <v>10182005.243285641</v>
      </c>
      <c r="D20" s="87">
        <f>Emb_Desemb_Conc_CI!E20</f>
        <v>11127171.399635736</v>
      </c>
      <c r="E20" s="87">
        <f>Emb_Desemb_Conc_CO!E20</f>
        <v>12037925.991574481</v>
      </c>
    </row>
    <row r="21" spans="1:5" x14ac:dyDescent="0.25">
      <c r="A21" s="106">
        <f t="shared" si="0"/>
        <v>16</v>
      </c>
      <c r="B21" s="104">
        <v>2037</v>
      </c>
      <c r="C21" s="86">
        <f>Emb_Desemb_Conc_CP!E21</f>
        <v>10334735.321934927</v>
      </c>
      <c r="D21" s="86">
        <f>Emb_Desemb_Conc_CI!E21</f>
        <v>11156761.676452439</v>
      </c>
      <c r="E21" s="86">
        <f>Emb_Desemb_Conc_CO!E21</f>
        <v>12069938.220882043</v>
      </c>
    </row>
    <row r="22" spans="1:5" x14ac:dyDescent="0.25">
      <c r="A22" s="107">
        <f t="shared" si="0"/>
        <v>17</v>
      </c>
      <c r="B22" s="105">
        <v>2038</v>
      </c>
      <c r="C22" s="87">
        <f>Emb_Desemb_Conc_CP!E22</f>
        <v>10489756.351763951</v>
      </c>
      <c r="D22" s="87">
        <f>Emb_Desemb_Conc_CI!E22</f>
        <v>11183330.088064268</v>
      </c>
      <c r="E22" s="87">
        <f>Emb_Desemb_Conc_CO!E22</f>
        <v>12098681.246509146</v>
      </c>
    </row>
    <row r="23" spans="1:5" x14ac:dyDescent="0.25">
      <c r="A23" s="106">
        <f t="shared" si="0"/>
        <v>18</v>
      </c>
      <c r="B23" s="104">
        <v>2039</v>
      </c>
      <c r="C23" s="86">
        <f>Emb_Desemb_Conc_CP!E23</f>
        <v>10511860.330667574</v>
      </c>
      <c r="D23" s="86">
        <f>Emb_Desemb_Conc_CI!E23</f>
        <v>11206895.563185841</v>
      </c>
      <c r="E23" s="86">
        <f>Emb_Desemb_Conc_CO!E23</f>
        <v>12124175.546478234</v>
      </c>
    </row>
    <row r="24" spans="1:5" x14ac:dyDescent="0.25">
      <c r="A24" s="107">
        <f t="shared" si="0"/>
        <v>19</v>
      </c>
      <c r="B24" s="105">
        <v>2040</v>
      </c>
      <c r="C24" s="87">
        <f>Emb_Desemb_Conc_CP!E24</f>
        <v>10531171.359525234</v>
      </c>
      <c r="D24" s="87">
        <f>Emb_Desemb_Conc_CI!E24</f>
        <v>11227483.42078837</v>
      </c>
      <c r="E24" s="87">
        <f>Emb_Desemb_Conc_CO!E24</f>
        <v>12146448.512108333</v>
      </c>
    </row>
    <row r="25" spans="1:5" x14ac:dyDescent="0.25">
      <c r="A25" s="106">
        <f t="shared" si="0"/>
        <v>20</v>
      </c>
      <c r="B25" s="104">
        <v>2041</v>
      </c>
      <c r="C25" s="86">
        <f>Emb_Desemb_Conc_CP!E25</f>
        <v>10547714.231461694</v>
      </c>
      <c r="D25" s="86">
        <f>Emb_Desemb_Conc_CI!E25</f>
        <v>11245120.093296871</v>
      </c>
      <c r="E25" s="86">
        <f>Emb_Desemb_Conc_CO!E25</f>
        <v>12165528.739308026</v>
      </c>
    </row>
    <row r="26" spans="1:5" x14ac:dyDescent="0.25">
      <c r="A26" s="107">
        <f t="shared" si="0"/>
        <v>21</v>
      </c>
      <c r="B26" s="105">
        <v>2042</v>
      </c>
      <c r="C26" s="87">
        <f>Emb_Desemb_Conc_CP!E26</f>
        <v>10561534.218904417</v>
      </c>
      <c r="D26" s="87">
        <f>Emb_Desemb_Conc_CI!E26</f>
        <v>11259853.846513063</v>
      </c>
      <c r="E26" s="87">
        <f>Emb_Desemb_Conc_CO!E26</f>
        <v>12181468.444415871</v>
      </c>
    </row>
    <row r="27" spans="1:5" x14ac:dyDescent="0.25">
      <c r="A27" s="106">
        <f t="shared" si="0"/>
        <v>22</v>
      </c>
      <c r="B27" s="104">
        <v>2043</v>
      </c>
      <c r="C27" s="86">
        <f>Emb_Desemb_Conc_CP!E27</f>
        <v>10572681.362189474</v>
      </c>
      <c r="D27" s="86">
        <f>Emb_Desemb_Conc_CI!E27</f>
        <v>11271738.029397327</v>
      </c>
      <c r="E27" s="86">
        <f>Emb_Desemb_Conc_CO!E27</f>
        <v>12194325.342983622</v>
      </c>
    </row>
    <row r="28" spans="1:5" x14ac:dyDescent="0.25">
      <c r="A28" s="107">
        <f t="shared" si="0"/>
        <v>23</v>
      </c>
      <c r="B28" s="105">
        <v>2044</v>
      </c>
      <c r="C28" s="87">
        <f>Emb_Desemb_Conc_CP!E28</f>
        <v>10581169.647182116</v>
      </c>
      <c r="D28" s="87">
        <f>Emb_Desemb_Conc_CI!E28</f>
        <v>11280787.552548388</v>
      </c>
      <c r="E28" s="87">
        <f>Emb_Desemb_Conc_CO!E28</f>
        <v>12204115.566036634</v>
      </c>
    </row>
    <row r="29" spans="1:5" x14ac:dyDescent="0.25">
      <c r="A29" s="106">
        <f t="shared" si="0"/>
        <v>24</v>
      </c>
      <c r="B29" s="104">
        <v>2045</v>
      </c>
      <c r="C29" s="86">
        <f>Emb_Desemb_Conc_CP!E29</f>
        <v>10587010.516863007</v>
      </c>
      <c r="D29" s="86">
        <f>Emb_Desemb_Conc_CI!E29</f>
        <v>11287014.615547024</v>
      </c>
      <c r="E29" s="86">
        <f>Emb_Desemb_Conc_CO!E29</f>
        <v>12210852.311686557</v>
      </c>
    </row>
    <row r="30" spans="1:5" x14ac:dyDescent="0.25">
      <c r="A30" s="107">
        <f t="shared" si="0"/>
        <v>25</v>
      </c>
      <c r="B30" s="105">
        <v>2046</v>
      </c>
      <c r="C30" s="87">
        <f>Emb_Desemb_Conc_CP!E30</f>
        <v>10590217.820871439</v>
      </c>
      <c r="D30" s="87">
        <f>Emb_Desemb_Conc_CI!E30</f>
        <v>11290433.983758856</v>
      </c>
      <c r="E30" s="87">
        <f>Emb_Desemb_Conc_CO!E30</f>
        <v>12214551.553838369</v>
      </c>
    </row>
    <row r="31" spans="1:5" x14ac:dyDescent="0.25">
      <c r="A31" s="106">
        <f t="shared" si="0"/>
        <v>26</v>
      </c>
      <c r="B31" s="104">
        <v>2047</v>
      </c>
      <c r="C31" s="86">
        <f>Emb_Desemb_Conc_CP!E31</f>
        <v>10590826.887139775</v>
      </c>
      <c r="D31" s="86">
        <f>Emb_Desemb_Conc_CI!E31</f>
        <v>11291083.320968976</v>
      </c>
      <c r="E31" s="86">
        <f>Emb_Desemb_Conc_CO!E31</f>
        <v>12215254.039043125</v>
      </c>
    </row>
    <row r="32" spans="1:5" x14ac:dyDescent="0.25">
      <c r="A32" s="107">
        <f t="shared" si="0"/>
        <v>27</v>
      </c>
      <c r="B32" s="105">
        <v>2048</v>
      </c>
      <c r="C32" s="87">
        <f>Emb_Desemb_Conc_CP!E32</f>
        <v>10588865.778215829</v>
      </c>
      <c r="D32" s="87">
        <f>Emb_Desemb_Conc_CI!E32</f>
        <v>11288992.545196909</v>
      </c>
      <c r="E32" s="87">
        <f>Emb_Desemb_Conc_CO!E32</f>
        <v>12212992.134098448</v>
      </c>
    </row>
    <row r="33" spans="1:5" x14ac:dyDescent="0.25">
      <c r="A33" s="106">
        <f t="shared" si="0"/>
        <v>28</v>
      </c>
      <c r="B33" s="104">
        <v>2049</v>
      </c>
      <c r="C33" s="86">
        <f>Emb_Desemb_Conc_CP!E33</f>
        <v>10584324.095517967</v>
      </c>
      <c r="D33" s="86">
        <f>Emb_Desemb_Conc_CI!E33</f>
        <v>11284150.570315681</v>
      </c>
      <c r="E33" s="86">
        <f>Emb_Desemb_Conc_CO!E33</f>
        <v>12207753.845482241</v>
      </c>
    </row>
    <row r="34" spans="1:5" x14ac:dyDescent="0.25">
      <c r="A34" s="107">
        <f t="shared" si="0"/>
        <v>29</v>
      </c>
      <c r="B34" s="105">
        <v>2050</v>
      </c>
      <c r="C34" s="87">
        <f>Emb_Desemb_Conc_CP!E34</f>
        <v>10577186.400104025</v>
      </c>
      <c r="D34" s="87">
        <f>Emb_Desemb_Conc_CI!E34</f>
        <v>11276540.936573451</v>
      </c>
      <c r="E34" s="87">
        <f>Emb_Desemb_Conc_CO!E34</f>
        <v>12199521.366218466</v>
      </c>
    </row>
    <row r="35" spans="1:5" x14ac:dyDescent="0.25">
      <c r="A35" s="106">
        <f t="shared" si="0"/>
        <v>30</v>
      </c>
      <c r="B35" s="104">
        <v>2051</v>
      </c>
      <c r="C35" s="86">
        <f>Emb_Desemb_Conc_CP!E35</f>
        <v>10567464.089546014</v>
      </c>
      <c r="D35" s="86">
        <f>Emb_Desemb_Conc_CI!E35</f>
        <v>11266175.795139957</v>
      </c>
      <c r="E35" s="86">
        <f>Emb_Desemb_Conc_CO!E35</f>
        <v>12188307.842045315</v>
      </c>
    </row>
    <row r="36" spans="1:5" x14ac:dyDescent="0.25">
      <c r="C36" s="5">
        <f>(C35/D35)-1</f>
        <v>-6.2018533910624396E-2</v>
      </c>
      <c r="D36" s="5">
        <f>(D35/E35)-1</f>
        <v>-7.5657101777847346E-2</v>
      </c>
    </row>
    <row r="37" spans="1:5" x14ac:dyDescent="0.25">
      <c r="C37" s="5">
        <f>(C35/E35)-1</f>
        <v>-0.13298349315628277</v>
      </c>
      <c r="D37" s="5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BFAA4-D833-4A5D-B8F4-819BB60EF37D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538</v>
      </c>
    </row>
    <row r="4" spans="1:12" ht="25.5" x14ac:dyDescent="0.25">
      <c r="A4" s="108" t="s">
        <v>360</v>
      </c>
      <c r="B4" s="108" t="s">
        <v>30</v>
      </c>
      <c r="C4" s="108" t="s">
        <v>2</v>
      </c>
      <c r="D4" s="108" t="s">
        <v>4</v>
      </c>
      <c r="E4" s="108" t="s">
        <v>293</v>
      </c>
    </row>
    <row r="5" spans="1:12" x14ac:dyDescent="0.25">
      <c r="A5" s="106">
        <v>0</v>
      </c>
      <c r="B5" s="104">
        <v>2021</v>
      </c>
      <c r="C5" s="86">
        <f>'Tabela 15'!B17+'Tabela 15'!B17*'%_CO_CI_CP'!E5</f>
        <v>2205845.4</v>
      </c>
      <c r="D5" s="86">
        <f>'Tabela 15'!C17+'Tabela 15'!C17*'%_CO_CI_CP'!E5</f>
        <v>2183883.9</v>
      </c>
      <c r="E5" s="86">
        <f>C5+D5</f>
        <v>4389729.3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C5+C5*'%_CO_CI_CP'!E6</f>
        <v>2647014.48</v>
      </c>
      <c r="D6" s="87">
        <f>D5+D5*'%_CO_CI_CP'!E6</f>
        <v>2620660.6799999997</v>
      </c>
      <c r="E6" s="87">
        <f>C6+D6</f>
        <v>5267675.16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C6+C6*'%_CO_CI_CP'!E7</f>
        <v>3441118.824</v>
      </c>
      <c r="D7" s="86">
        <f>D6+D6*'%_CO_CI_CP'!E7</f>
        <v>3406858.8839999996</v>
      </c>
      <c r="E7" s="111">
        <f t="shared" ref="E7:E35" si="1">C7+D7</f>
        <v>6847977.7079999996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C7+C7*'%_CO_CI_CP'!E8</f>
        <v>4473454.4712000005</v>
      </c>
      <c r="D8" s="87">
        <f>D7+D7*'%_CO_CI_CP'!E8</f>
        <v>4428916.5491999993</v>
      </c>
      <c r="E8" s="87">
        <f t="shared" si="1"/>
        <v>8902371.0203999989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C8+C8*'%_CO_CI_CP'!E9</f>
        <v>4607658.1053360002</v>
      </c>
      <c r="D9" s="86">
        <f>D8+D8*'%_CO_CI_CP'!E9</f>
        <v>4561784.0456759995</v>
      </c>
      <c r="E9" s="86">
        <f t="shared" si="1"/>
        <v>9169442.1510119997</v>
      </c>
    </row>
    <row r="10" spans="1:12" x14ac:dyDescent="0.25">
      <c r="A10" s="107">
        <f t="shared" si="0"/>
        <v>5</v>
      </c>
      <c r="B10" s="105">
        <v>2026</v>
      </c>
      <c r="C10" s="87">
        <f>C9+C9*'%_CO_CI_CP'!E10</f>
        <v>4745887.8484960804</v>
      </c>
      <c r="D10" s="87">
        <f>D9+D9*'%_CO_CI_CP'!E10</f>
        <v>4698637.5670462791</v>
      </c>
      <c r="E10" s="87">
        <f t="shared" si="1"/>
        <v>9444525.4155423604</v>
      </c>
    </row>
    <row r="11" spans="1:12" x14ac:dyDescent="0.25">
      <c r="A11" s="106">
        <f t="shared" si="0"/>
        <v>6</v>
      </c>
      <c r="B11" s="104">
        <v>2027</v>
      </c>
      <c r="C11" s="86">
        <f>C10+C10*'%_CO_CI_CP'!E11</f>
        <v>4888264.4839509632</v>
      </c>
      <c r="D11" s="86">
        <f>D10+D10*'%_CO_CI_CP'!E11</f>
        <v>4839596.6940576676</v>
      </c>
      <c r="E11" s="86">
        <f t="shared" si="1"/>
        <v>9727861.1780086309</v>
      </c>
    </row>
    <row r="12" spans="1:12" x14ac:dyDescent="0.25">
      <c r="A12" s="107">
        <f t="shared" si="0"/>
        <v>7</v>
      </c>
      <c r="B12" s="105">
        <v>2028</v>
      </c>
      <c r="C12" s="87">
        <f>C11+C11*'%_CO_CI_CP'!E12</f>
        <v>5034912.4184694923</v>
      </c>
      <c r="D12" s="87">
        <f>D11+D11*'%_CO_CI_CP'!E12</f>
        <v>4984784.5948793981</v>
      </c>
      <c r="E12" s="87">
        <f t="shared" si="1"/>
        <v>10019697.01334889</v>
      </c>
    </row>
    <row r="13" spans="1:12" x14ac:dyDescent="0.25">
      <c r="A13" s="106">
        <f t="shared" si="0"/>
        <v>8</v>
      </c>
      <c r="B13" s="104">
        <v>2029</v>
      </c>
      <c r="C13" s="86">
        <f>C12+C12*'%_CO_CI_CP'!E13</f>
        <v>5185959.7910235766</v>
      </c>
      <c r="D13" s="86">
        <f>D12+D12*'%_CO_CI_CP'!E13</f>
        <v>5134328.1327257799</v>
      </c>
      <c r="E13" s="86">
        <f t="shared" si="1"/>
        <v>10320287.923749357</v>
      </c>
    </row>
    <row r="14" spans="1:12" x14ac:dyDescent="0.25">
      <c r="A14" s="107">
        <f t="shared" si="0"/>
        <v>9</v>
      </c>
      <c r="B14" s="105">
        <v>2030</v>
      </c>
      <c r="C14" s="87">
        <f>C13+C13*'%_CO_CI_CP'!E14</f>
        <v>5341538.5847542835</v>
      </c>
      <c r="D14" s="87">
        <f>D13+D13*'%_CO_CI_CP'!E14</f>
        <v>5288357.9767075535</v>
      </c>
      <c r="E14" s="87">
        <f t="shared" si="1"/>
        <v>10629896.561461836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C14+C14*'%_CO_CI_CP'!E15</f>
        <v>5501784.7422969118</v>
      </c>
      <c r="D15" s="86">
        <f>D14+D14*'%_CO_CI_CP'!E15</f>
        <v>5447008.7160087805</v>
      </c>
      <c r="E15" s="86">
        <f t="shared" si="1"/>
        <v>10948793.458305692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C15+C15*'%_CO_CI_CP'!E16</f>
        <v>5666838.2845658194</v>
      </c>
      <c r="D16" s="87">
        <f>D15+D15*'%_CO_CI_CP'!E16</f>
        <v>5610418.977489044</v>
      </c>
      <c r="E16" s="87">
        <f t="shared" si="1"/>
        <v>11277257.262054864</v>
      </c>
    </row>
    <row r="17" spans="1:5" x14ac:dyDescent="0.25">
      <c r="A17" s="106">
        <f t="shared" si="0"/>
        <v>12</v>
      </c>
      <c r="B17" s="104">
        <v>2033</v>
      </c>
      <c r="C17" s="86">
        <f>C16+C16*'%_CO_CI_CP'!E17</f>
        <v>5836843.433102794</v>
      </c>
      <c r="D17" s="86">
        <f>D16+D16*'%_CO_CI_CP'!E17</f>
        <v>5778731.5468137152</v>
      </c>
      <c r="E17" s="86">
        <f t="shared" si="1"/>
        <v>11615574.979916509</v>
      </c>
    </row>
    <row r="18" spans="1:5" x14ac:dyDescent="0.25">
      <c r="A18" s="107">
        <f t="shared" si="0"/>
        <v>13</v>
      </c>
      <c r="B18" s="105">
        <v>2034</v>
      </c>
      <c r="C18" s="87">
        <f>C17+C17*'%_CO_CI_CP'!E18</f>
        <v>6011948.7360958774</v>
      </c>
      <c r="D18" s="87">
        <f>D17+D17*'%_CO_CI_CP'!E18</f>
        <v>5952093.4932181267</v>
      </c>
      <c r="E18" s="87">
        <f t="shared" si="1"/>
        <v>11964042.229314003</v>
      </c>
    </row>
    <row r="19" spans="1:5" x14ac:dyDescent="0.25">
      <c r="A19" s="106">
        <f t="shared" si="0"/>
        <v>14</v>
      </c>
      <c r="B19" s="104">
        <v>2035</v>
      </c>
      <c r="C19" s="86">
        <f>C18+C18*'%_CO_CI_CP'!E19</f>
        <v>6031333.4094717968</v>
      </c>
      <c r="D19" s="86">
        <f>D18+D18*'%_CO_CI_CP'!E19</f>
        <v>5971285.1718790289</v>
      </c>
      <c r="E19" s="86">
        <f t="shared" si="1"/>
        <v>12002618.581350826</v>
      </c>
    </row>
    <row r="20" spans="1:5" x14ac:dyDescent="0.25">
      <c r="A20" s="107">
        <f t="shared" si="0"/>
        <v>15</v>
      </c>
      <c r="B20" s="105">
        <v>2036</v>
      </c>
      <c r="C20" s="87">
        <f>C19+C19*'%_CO_CI_CP'!E20</f>
        <v>6049075.434800731</v>
      </c>
      <c r="D20" s="87">
        <f>D19+D19*'%_CO_CI_CP'!E20</f>
        <v>5988850.556773751</v>
      </c>
      <c r="E20" s="87">
        <f t="shared" si="1"/>
        <v>12037925.991574481</v>
      </c>
    </row>
    <row r="21" spans="1:5" x14ac:dyDescent="0.25">
      <c r="A21" s="106">
        <f t="shared" si="0"/>
        <v>16</v>
      </c>
      <c r="B21" s="104">
        <v>2037</v>
      </c>
      <c r="C21" s="86">
        <f>C20+C20*'%_CO_CI_CP'!E21</f>
        <v>6065161.6268950431</v>
      </c>
      <c r="D21" s="86">
        <f>D20+D20*'%_CO_CI_CP'!E21</f>
        <v>6004776.5939870011</v>
      </c>
      <c r="E21" s="86">
        <f t="shared" si="1"/>
        <v>12069938.220882043</v>
      </c>
    </row>
    <row r="22" spans="1:5" x14ac:dyDescent="0.25">
      <c r="A22" s="107">
        <f t="shared" si="0"/>
        <v>17</v>
      </c>
      <c r="B22" s="105">
        <v>2038</v>
      </c>
      <c r="C22" s="87">
        <f>C21+C21*'%_CO_CI_CP'!E22</f>
        <v>6079605.0393536715</v>
      </c>
      <c r="D22" s="87">
        <f>D21+D21*'%_CO_CI_CP'!E22</f>
        <v>6019076.2071554754</v>
      </c>
      <c r="E22" s="87">
        <f t="shared" si="1"/>
        <v>12098681.246509146</v>
      </c>
    </row>
    <row r="23" spans="1:5" x14ac:dyDescent="0.25">
      <c r="A23" s="106">
        <f t="shared" si="0"/>
        <v>18</v>
      </c>
      <c r="B23" s="104">
        <v>2039</v>
      </c>
      <c r="C23" s="86">
        <f>C22+C22*'%_CO_CI_CP'!E23</f>
        <v>6092415.9624128751</v>
      </c>
      <c r="D23" s="86">
        <f>D22+D22*'%_CO_CI_CP'!E23</f>
        <v>6031759.58406536</v>
      </c>
      <c r="E23" s="86">
        <f t="shared" si="1"/>
        <v>12124175.546478234</v>
      </c>
    </row>
    <row r="24" spans="1:5" x14ac:dyDescent="0.25">
      <c r="A24" s="107">
        <f t="shared" si="0"/>
        <v>19</v>
      </c>
      <c r="B24" s="105">
        <v>2040</v>
      </c>
      <c r="C24" s="87">
        <f>C23+C23*'%_CO_CI_CP'!E24</f>
        <v>6103608.1602505669</v>
      </c>
      <c r="D24" s="87">
        <f>D23+D23*'%_CO_CI_CP'!E24</f>
        <v>6042840.3518577674</v>
      </c>
      <c r="E24" s="87">
        <f t="shared" si="1"/>
        <v>12146448.512108333</v>
      </c>
    </row>
    <row r="25" spans="1:5" x14ac:dyDescent="0.25">
      <c r="A25" s="106">
        <f t="shared" si="0"/>
        <v>20</v>
      </c>
      <c r="B25" s="104">
        <v>2041</v>
      </c>
      <c r="C25" s="86">
        <f>C24+C24*'%_CO_CI_CP'!E25</f>
        <v>6113196.0023526745</v>
      </c>
      <c r="D25" s="86">
        <f>D24+D24*'%_CO_CI_CP'!E25</f>
        <v>6052332.7369553512</v>
      </c>
      <c r="E25" s="86">
        <f t="shared" si="1"/>
        <v>12165528.739308026</v>
      </c>
    </row>
    <row r="26" spans="1:5" x14ac:dyDescent="0.25">
      <c r="A26" s="107">
        <f t="shared" si="0"/>
        <v>21</v>
      </c>
      <c r="B26" s="105">
        <v>2042</v>
      </c>
      <c r="C26" s="87">
        <f>C25+C25*'%_CO_CI_CP'!E26</f>
        <v>6121205.7275057714</v>
      </c>
      <c r="D26" s="87">
        <f>D25+D25*'%_CO_CI_CP'!E26</f>
        <v>6060262.7169100996</v>
      </c>
      <c r="E26" s="87">
        <f t="shared" si="1"/>
        <v>12181468.444415871</v>
      </c>
    </row>
    <row r="27" spans="1:5" x14ac:dyDescent="0.25">
      <c r="A27" s="106">
        <f t="shared" si="0"/>
        <v>22</v>
      </c>
      <c r="B27" s="104">
        <v>2043</v>
      </c>
      <c r="C27" s="86">
        <f>C26+C26*'%_CO_CI_CP'!E27</f>
        <v>6127666.3378591118</v>
      </c>
      <c r="D27" s="86">
        <f>D26+D26*'%_CO_CI_CP'!E27</f>
        <v>6066659.0051245112</v>
      </c>
      <c r="E27" s="86">
        <f t="shared" si="1"/>
        <v>12194325.342983622</v>
      </c>
    </row>
    <row r="28" spans="1:5" x14ac:dyDescent="0.25">
      <c r="A28" s="107">
        <f t="shared" si="0"/>
        <v>23</v>
      </c>
      <c r="B28" s="105">
        <v>2044</v>
      </c>
      <c r="C28" s="87">
        <f>C27+C27*'%_CO_CI_CP'!E28</f>
        <v>6132585.9392765518</v>
      </c>
      <c r="D28" s="87">
        <f>D27+D27*'%_CO_CI_CP'!E28</f>
        <v>6071529.6267600823</v>
      </c>
      <c r="E28" s="87">
        <f t="shared" si="1"/>
        <v>12204115.566036634</v>
      </c>
    </row>
    <row r="29" spans="1:5" x14ac:dyDescent="0.25">
      <c r="A29" s="106">
        <f t="shared" si="0"/>
        <v>24</v>
      </c>
      <c r="B29" s="104">
        <v>2045</v>
      </c>
      <c r="C29" s="86">
        <f>C28+C28*'%_CO_CI_CP'!E29</f>
        <v>6135971.1638285201</v>
      </c>
      <c r="D29" s="86">
        <f>D28+D28*'%_CO_CI_CP'!E29</f>
        <v>6074881.1478580376</v>
      </c>
      <c r="E29" s="86">
        <f t="shared" si="1"/>
        <v>12210852.311686557</v>
      </c>
    </row>
    <row r="30" spans="1:5" x14ac:dyDescent="0.25">
      <c r="A30" s="107">
        <f t="shared" si="0"/>
        <v>25</v>
      </c>
      <c r="B30" s="105">
        <v>2046</v>
      </c>
      <c r="C30" s="87">
        <f>C29+C29*'%_CO_CI_CP'!E30</f>
        <v>6137830.0384256532</v>
      </c>
      <c r="D30" s="87">
        <f>D29+D29*'%_CO_CI_CP'!E30</f>
        <v>6076721.5154127162</v>
      </c>
      <c r="E30" s="87">
        <f t="shared" si="1"/>
        <v>12214551.553838369</v>
      </c>
    </row>
    <row r="31" spans="1:5" x14ac:dyDescent="0.25">
      <c r="A31" s="106">
        <f t="shared" si="0"/>
        <v>26</v>
      </c>
      <c r="B31" s="104">
        <v>2047</v>
      </c>
      <c r="C31" s="86">
        <f>C30+C30*'%_CO_CI_CP'!E31</f>
        <v>6138183.0382695105</v>
      </c>
      <c r="D31" s="86">
        <f>D30+D30*'%_CO_CI_CP'!E31</f>
        <v>6077071.0007736133</v>
      </c>
      <c r="E31" s="86">
        <f t="shared" si="1"/>
        <v>12215254.039043125</v>
      </c>
    </row>
    <row r="32" spans="1:5" x14ac:dyDescent="0.25">
      <c r="A32" s="107">
        <f t="shared" si="0"/>
        <v>27</v>
      </c>
      <c r="B32" s="105">
        <v>2048</v>
      </c>
      <c r="C32" s="87">
        <f>C31+C31*'%_CO_CI_CP'!E32</f>
        <v>6137046.4277232857</v>
      </c>
      <c r="D32" s="87">
        <f>D31+D31*'%_CO_CI_CP'!E32</f>
        <v>6075945.7063751612</v>
      </c>
      <c r="E32" s="87">
        <f t="shared" si="1"/>
        <v>12212992.134098448</v>
      </c>
    </row>
    <row r="33" spans="1:5" x14ac:dyDescent="0.25">
      <c r="A33" s="106">
        <f t="shared" si="0"/>
        <v>28</v>
      </c>
      <c r="B33" s="104">
        <v>2049</v>
      </c>
      <c r="C33" s="86">
        <f>C32+C32*'%_CO_CI_CP'!E33</f>
        <v>6134414.1800245652</v>
      </c>
      <c r="D33" s="86">
        <f>D32+D32*'%_CO_CI_CP'!E33</f>
        <v>6073339.6654576752</v>
      </c>
      <c r="E33" s="86">
        <f t="shared" si="1"/>
        <v>12207753.845482241</v>
      </c>
    </row>
    <row r="34" spans="1:5" x14ac:dyDescent="0.25">
      <c r="A34" s="107">
        <f t="shared" si="0"/>
        <v>29</v>
      </c>
      <c r="B34" s="105">
        <v>2050</v>
      </c>
      <c r="C34" s="87">
        <f>C33+C33*'%_CO_CI_CP'!E34</f>
        <v>6130277.3471418191</v>
      </c>
      <c r="D34" s="87">
        <f>D33+D33*'%_CO_CI_CP'!E34</f>
        <v>6069244.0190766463</v>
      </c>
      <c r="E34" s="87">
        <f t="shared" si="1"/>
        <v>12199521.366218466</v>
      </c>
    </row>
    <row r="35" spans="1:5" x14ac:dyDescent="0.25">
      <c r="A35" s="106">
        <f t="shared" si="0"/>
        <v>30</v>
      </c>
      <c r="B35" s="104">
        <v>2051</v>
      </c>
      <c r="C35" s="86">
        <f>C34+C34*'%_CO_CI_CP'!E35</f>
        <v>6124642.5348277362</v>
      </c>
      <c r="D35" s="86">
        <f>D34+D34*'%_CO_CI_CP'!E35</f>
        <v>6063665.3072175793</v>
      </c>
      <c r="E35" s="86">
        <f t="shared" si="1"/>
        <v>12188307.842045315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FD69D-7DAE-420B-B6B7-7A0CD64A4E29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541</v>
      </c>
    </row>
    <row r="4" spans="1:12" ht="25.5" x14ac:dyDescent="0.25">
      <c r="A4" s="108" t="s">
        <v>360</v>
      </c>
      <c r="B4" s="108" t="s">
        <v>30</v>
      </c>
      <c r="C4" s="108" t="s">
        <v>315</v>
      </c>
    </row>
    <row r="5" spans="1:12" x14ac:dyDescent="0.25">
      <c r="A5" s="106">
        <v>0</v>
      </c>
      <c r="B5" s="104">
        <v>2021</v>
      </c>
      <c r="C5" s="86">
        <f>2730000+2730000*'%_CO_CI_CP'!E5</f>
        <v>3003000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C5+C5*'%_CO_CI_CP'!E6</f>
        <v>3603600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C6+C6*'%_CO_CI_CP'!E7</f>
        <v>4684680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C7+C7*'%_CO_CI_CP'!E8</f>
        <v>6090084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C8+C8*'%_CO_CI_CP'!E9</f>
        <v>6272786.5199999996</v>
      </c>
    </row>
    <row r="10" spans="1:12" x14ac:dyDescent="0.25">
      <c r="A10" s="107">
        <f t="shared" si="0"/>
        <v>5</v>
      </c>
      <c r="B10" s="105">
        <v>2026</v>
      </c>
      <c r="C10" s="87">
        <f>C9+C9*'%_CO_CI_CP'!E10</f>
        <v>6460970.1155999992</v>
      </c>
    </row>
    <row r="11" spans="1:12" x14ac:dyDescent="0.25">
      <c r="A11" s="106">
        <f t="shared" si="0"/>
        <v>6</v>
      </c>
      <c r="B11" s="104">
        <v>2027</v>
      </c>
      <c r="C11" s="86">
        <f>C10+C10*'%_CO_CI_CP'!E11</f>
        <v>6654799.2190679992</v>
      </c>
    </row>
    <row r="12" spans="1:12" x14ac:dyDescent="0.25">
      <c r="A12" s="107">
        <f t="shared" si="0"/>
        <v>7</v>
      </c>
      <c r="B12" s="105">
        <v>2028</v>
      </c>
      <c r="C12" s="87">
        <f>C11+C11*'%_CO_CI_CP'!E12</f>
        <v>6854443.1956400387</v>
      </c>
    </row>
    <row r="13" spans="1:12" x14ac:dyDescent="0.25">
      <c r="A13" s="106">
        <f t="shared" si="0"/>
        <v>8</v>
      </c>
      <c r="B13" s="104">
        <v>2029</v>
      </c>
      <c r="C13" s="86">
        <f>C12+C12*'%_CO_CI_CP'!E13</f>
        <v>7060076.4915092401</v>
      </c>
    </row>
    <row r="14" spans="1:12" x14ac:dyDescent="0.25">
      <c r="A14" s="107">
        <f t="shared" si="0"/>
        <v>9</v>
      </c>
      <c r="B14" s="105">
        <v>2030</v>
      </c>
      <c r="C14" s="87">
        <f>C13+C13*'%_CO_CI_CP'!E14</f>
        <v>7271878.7862545177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C14+C14*'%_CO_CI_CP'!E15</f>
        <v>7490035.1498421533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C15+C15*'%_CO_CI_CP'!E16</f>
        <v>7714736.2043374181</v>
      </c>
    </row>
    <row r="17" spans="1:3" x14ac:dyDescent="0.25">
      <c r="A17" s="106">
        <f t="shared" si="0"/>
        <v>12</v>
      </c>
      <c r="B17" s="104">
        <v>2033</v>
      </c>
      <c r="C17" s="86">
        <f>C16+C16*'%_CO_CI_CP'!E17</f>
        <v>7946178.2904675407</v>
      </c>
    </row>
    <row r="18" spans="1:3" x14ac:dyDescent="0.25">
      <c r="A18" s="107">
        <f t="shared" si="0"/>
        <v>13</v>
      </c>
      <c r="B18" s="105">
        <v>2034</v>
      </c>
      <c r="C18" s="87">
        <f>C17+C17*'%_CO_CI_CP'!E18</f>
        <v>8184563.6391815674</v>
      </c>
    </row>
    <row r="19" spans="1:3" x14ac:dyDescent="0.25">
      <c r="A19" s="106">
        <f t="shared" si="0"/>
        <v>14</v>
      </c>
      <c r="B19" s="104">
        <v>2035</v>
      </c>
      <c r="C19" s="86">
        <f>C18+C18*'%_CO_CI_CP'!E19</f>
        <v>8210953.6002132362</v>
      </c>
    </row>
    <row r="20" spans="1:3" x14ac:dyDescent="0.25">
      <c r="A20" s="107">
        <f t="shared" si="0"/>
        <v>15</v>
      </c>
      <c r="B20" s="105">
        <v>2036</v>
      </c>
      <c r="C20" s="87">
        <f>C19+C19*'%_CO_CI_CP'!E20</f>
        <v>8235107.2884376189</v>
      </c>
    </row>
    <row r="21" spans="1:3" x14ac:dyDescent="0.25">
      <c r="A21" s="106">
        <f t="shared" si="0"/>
        <v>16</v>
      </c>
      <c r="B21" s="104">
        <v>2037</v>
      </c>
      <c r="C21" s="86">
        <f>C20+C20*'%_CO_CI_CP'!E21</f>
        <v>8257006.7537669754</v>
      </c>
    </row>
    <row r="22" spans="1:3" x14ac:dyDescent="0.25">
      <c r="A22" s="107">
        <f t="shared" si="0"/>
        <v>17</v>
      </c>
      <c r="B22" s="105">
        <v>2038</v>
      </c>
      <c r="C22" s="87">
        <f>C21+C21*'%_CO_CI_CP'!E22</f>
        <v>8276669.7671464542</v>
      </c>
    </row>
    <row r="23" spans="1:3" x14ac:dyDescent="0.25">
      <c r="A23" s="106">
        <f t="shared" si="0"/>
        <v>18</v>
      </c>
      <c r="B23" s="104">
        <v>2039</v>
      </c>
      <c r="C23" s="86">
        <f>C22+C22*'%_CO_CI_CP'!E23</f>
        <v>8294110.3375267675</v>
      </c>
    </row>
    <row r="24" spans="1:3" x14ac:dyDescent="0.25">
      <c r="A24" s="107">
        <f t="shared" si="0"/>
        <v>19</v>
      </c>
      <c r="B24" s="105">
        <v>2040</v>
      </c>
      <c r="C24" s="87">
        <f>C23+C23*'%_CO_CI_CP'!E24</f>
        <v>8309347.2032230617</v>
      </c>
    </row>
    <row r="25" spans="1:3" x14ac:dyDescent="0.25">
      <c r="A25" s="106">
        <f t="shared" si="0"/>
        <v>20</v>
      </c>
      <c r="B25" s="104">
        <v>2041</v>
      </c>
      <c r="C25" s="86">
        <f>C24+C24*'%_CO_CI_CP'!E25</f>
        <v>8322399.9266064083</v>
      </c>
    </row>
    <row r="26" spans="1:3" x14ac:dyDescent="0.25">
      <c r="A26" s="107">
        <f t="shared" si="0"/>
        <v>21</v>
      </c>
      <c r="B26" s="105">
        <v>2042</v>
      </c>
      <c r="C26" s="87">
        <f>C25+C25*'%_CO_CI_CP'!E26</f>
        <v>8333304.2287096977</v>
      </c>
    </row>
    <row r="27" spans="1:3" x14ac:dyDescent="0.25">
      <c r="A27" s="106">
        <f t="shared" si="0"/>
        <v>22</v>
      </c>
      <c r="B27" s="104">
        <v>2043</v>
      </c>
      <c r="C27" s="86">
        <f>C26+C26*'%_CO_CI_CP'!E27</f>
        <v>8342099.5925602568</v>
      </c>
    </row>
    <row r="28" spans="1:3" x14ac:dyDescent="0.25">
      <c r="A28" s="107">
        <f t="shared" si="0"/>
        <v>23</v>
      </c>
      <c r="B28" s="105">
        <v>2044</v>
      </c>
      <c r="C28" s="87">
        <f>C27+C27*'%_CO_CI_CP'!E28</f>
        <v>8348797.0533417659</v>
      </c>
    </row>
    <row r="29" spans="1:3" x14ac:dyDescent="0.25">
      <c r="A29" s="106">
        <f t="shared" si="0"/>
        <v>24</v>
      </c>
      <c r="B29" s="104">
        <v>2045</v>
      </c>
      <c r="C29" s="86">
        <f>C28+C28*'%_CO_CI_CP'!E29</f>
        <v>8353405.6398408739</v>
      </c>
    </row>
    <row r="30" spans="1:3" x14ac:dyDescent="0.25">
      <c r="A30" s="107">
        <f t="shared" si="0"/>
        <v>25</v>
      </c>
      <c r="B30" s="105">
        <v>2046</v>
      </c>
      <c r="C30" s="87">
        <f>C29+C29*'%_CO_CI_CP'!E30</f>
        <v>8355936.2797557069</v>
      </c>
    </row>
    <row r="31" spans="1:3" x14ac:dyDescent="0.25">
      <c r="A31" s="106">
        <f t="shared" si="0"/>
        <v>26</v>
      </c>
      <c r="B31" s="104">
        <v>2047</v>
      </c>
      <c r="C31" s="86">
        <f>C30+C30*'%_CO_CI_CP'!E31</f>
        <v>8356416.8476736145</v>
      </c>
    </row>
    <row r="32" spans="1:3" x14ac:dyDescent="0.25">
      <c r="A32" s="107">
        <f t="shared" si="0"/>
        <v>27</v>
      </c>
      <c r="B32" s="105">
        <v>2048</v>
      </c>
      <c r="C32" s="87">
        <f>C31+C31*'%_CO_CI_CP'!E32</f>
        <v>8354869.4856189964</v>
      </c>
    </row>
    <row r="33" spans="1:3" x14ac:dyDescent="0.25">
      <c r="A33" s="106">
        <f t="shared" si="0"/>
        <v>28</v>
      </c>
      <c r="B33" s="104">
        <v>2049</v>
      </c>
      <c r="C33" s="86">
        <f>C32+C32*'%_CO_CI_CP'!E33</f>
        <v>8351285.9888611287</v>
      </c>
    </row>
    <row r="34" spans="1:3" x14ac:dyDescent="0.25">
      <c r="A34" s="107">
        <f t="shared" si="0"/>
        <v>29</v>
      </c>
      <c r="B34" s="105">
        <v>2050</v>
      </c>
      <c r="C34" s="87">
        <f>C33+C33*'%_CO_CI_CP'!E34</f>
        <v>8345654.1757037397</v>
      </c>
    </row>
    <row r="35" spans="1:3" x14ac:dyDescent="0.25">
      <c r="A35" s="106">
        <f t="shared" si="0"/>
        <v>30</v>
      </c>
      <c r="B35" s="104">
        <v>2051</v>
      </c>
      <c r="C35" s="86">
        <f>C34+C34*'%_CO_CI_CP'!E35</f>
        <v>8337983.039104959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ED1F1-83A7-4089-9029-E35201124749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547</v>
      </c>
    </row>
    <row r="2" spans="1:12" x14ac:dyDescent="0.25">
      <c r="A2" s="78"/>
      <c r="B2" s="174"/>
    </row>
    <row r="4" spans="1:12" ht="25.5" x14ac:dyDescent="0.25">
      <c r="A4" s="108" t="s">
        <v>360</v>
      </c>
      <c r="B4" s="108" t="s">
        <v>30</v>
      </c>
      <c r="C4" s="108" t="s">
        <v>316</v>
      </c>
      <c r="D4" s="108" t="s">
        <v>19</v>
      </c>
      <c r="E4" s="108" t="s">
        <v>293</v>
      </c>
    </row>
    <row r="5" spans="1:12" x14ac:dyDescent="0.25">
      <c r="A5" s="106">
        <v>0</v>
      </c>
      <c r="B5" s="104">
        <v>2021</v>
      </c>
      <c r="C5" s="86">
        <f>'Tabela 17'!C18+'Tabela 17'!C18*'%_CO_CI_CP'!E5</f>
        <v>408813.9</v>
      </c>
      <c r="D5" s="86">
        <f>'Tabela 17'!D18+'Tabela 17'!D18*'%_CO_CI_CP'!E5</f>
        <v>11327.8</v>
      </c>
      <c r="E5" s="86">
        <f>C5+D5</f>
        <v>420141.7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C5+C5*'%_CO_CI_CP'!E6</f>
        <v>490576.68000000005</v>
      </c>
      <c r="D6" s="87">
        <f>D5+D5*'%_CO_CI_CP'!E6</f>
        <v>13593.359999999999</v>
      </c>
      <c r="E6" s="87">
        <f>C6+D6</f>
        <v>504170.04000000004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C6+C6*'%_CO_CI_CP'!E7</f>
        <v>637749.68400000012</v>
      </c>
      <c r="D7" s="86">
        <f>D6+D6*'%_CO_CI_CP'!E7</f>
        <v>17671.367999999999</v>
      </c>
      <c r="E7" s="111">
        <f t="shared" ref="E7:E35" si="1">C7+D7</f>
        <v>655421.05200000014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C7+C7*'%_CO_CI_CP'!E8</f>
        <v>829074.58920000016</v>
      </c>
      <c r="D8" s="87">
        <f>D7+D7*'%_CO_CI_CP'!E8</f>
        <v>22972.778399999999</v>
      </c>
      <c r="E8" s="87">
        <f t="shared" si="1"/>
        <v>852047.36760000011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C8+C8*'%_CO_CI_CP'!E9</f>
        <v>853946.82687600015</v>
      </c>
      <c r="D9" s="86">
        <f>D8+D8*'%_CO_CI_CP'!E9</f>
        <v>23661.961751999999</v>
      </c>
      <c r="E9" s="86">
        <f t="shared" si="1"/>
        <v>877608.78862800018</v>
      </c>
    </row>
    <row r="10" spans="1:12" x14ac:dyDescent="0.25">
      <c r="A10" s="107">
        <f t="shared" si="0"/>
        <v>5</v>
      </c>
      <c r="B10" s="105">
        <v>2026</v>
      </c>
      <c r="C10" s="87">
        <f>C9+C9*'%_CO_CI_CP'!E10</f>
        <v>879565.23168228019</v>
      </c>
      <c r="D10" s="87">
        <f>D9+D9*'%_CO_CI_CP'!E10</f>
        <v>24371.820604559998</v>
      </c>
      <c r="E10" s="87">
        <f t="shared" si="1"/>
        <v>903937.05228684016</v>
      </c>
    </row>
    <row r="11" spans="1:12" x14ac:dyDescent="0.25">
      <c r="A11" s="106">
        <f t="shared" si="0"/>
        <v>6</v>
      </c>
      <c r="B11" s="104">
        <v>2027</v>
      </c>
      <c r="C11" s="86">
        <f>C10+C10*'%_CO_CI_CP'!E11</f>
        <v>905952.18863274856</v>
      </c>
      <c r="D11" s="86">
        <f>D10+D10*'%_CO_CI_CP'!E11</f>
        <v>25102.975222696798</v>
      </c>
      <c r="E11" s="86">
        <f t="shared" si="1"/>
        <v>931055.16385544534</v>
      </c>
    </row>
    <row r="12" spans="1:12" x14ac:dyDescent="0.25">
      <c r="A12" s="107">
        <f t="shared" si="0"/>
        <v>7</v>
      </c>
      <c r="B12" s="105">
        <v>2028</v>
      </c>
      <c r="C12" s="87">
        <f>C11+C11*'%_CO_CI_CP'!E12</f>
        <v>933130.75429173105</v>
      </c>
      <c r="D12" s="87">
        <f>D11+D11*'%_CO_CI_CP'!E12</f>
        <v>25856.064479377703</v>
      </c>
      <c r="E12" s="87">
        <f t="shared" si="1"/>
        <v>958986.81877110875</v>
      </c>
    </row>
    <row r="13" spans="1:12" x14ac:dyDescent="0.25">
      <c r="A13" s="106">
        <f t="shared" si="0"/>
        <v>8</v>
      </c>
      <c r="B13" s="104">
        <v>2029</v>
      </c>
      <c r="C13" s="86">
        <f>C12+C12*'%_CO_CI_CP'!E13</f>
        <v>961124.67692048301</v>
      </c>
      <c r="D13" s="86">
        <f>D12+D12*'%_CO_CI_CP'!E13</f>
        <v>26631.746413759032</v>
      </c>
      <c r="E13" s="86">
        <f t="shared" si="1"/>
        <v>987756.42333424208</v>
      </c>
    </row>
    <row r="14" spans="1:12" x14ac:dyDescent="0.25">
      <c r="A14" s="107">
        <f t="shared" si="0"/>
        <v>9</v>
      </c>
      <c r="B14" s="105">
        <v>2030</v>
      </c>
      <c r="C14" s="87">
        <f>C13+C13*'%_CO_CI_CP'!E14</f>
        <v>989958.41722809745</v>
      </c>
      <c r="D14" s="87">
        <f>D13+D13*'%_CO_CI_CP'!E14</f>
        <v>27430.698806171804</v>
      </c>
      <c r="E14" s="87">
        <f t="shared" si="1"/>
        <v>1017389.1160342692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C14+C14*'%_CO_CI_CP'!E15</f>
        <v>1019657.1697449404</v>
      </c>
      <c r="D15" s="86">
        <f>D14+D14*'%_CO_CI_CP'!E15</f>
        <v>28253.61977035696</v>
      </c>
      <c r="E15" s="86">
        <f t="shared" si="1"/>
        <v>1047910.7895152973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C15+C15*'%_CO_CI_CP'!E16</f>
        <v>1050246.8848372886</v>
      </c>
      <c r="D16" s="87">
        <f>D15+D15*'%_CO_CI_CP'!E16</f>
        <v>29101.228363467668</v>
      </c>
      <c r="E16" s="87">
        <f t="shared" si="1"/>
        <v>1079348.1132007563</v>
      </c>
    </row>
    <row r="17" spans="1:5" x14ac:dyDescent="0.25">
      <c r="A17" s="106">
        <f t="shared" si="0"/>
        <v>12</v>
      </c>
      <c r="B17" s="104">
        <v>2033</v>
      </c>
      <c r="C17" s="86">
        <f>C16+C16*'%_CO_CI_CP'!E17</f>
        <v>1081754.2913824073</v>
      </c>
      <c r="D17" s="86">
        <f>D16+D16*'%_CO_CI_CP'!E17</f>
        <v>29974.265214371699</v>
      </c>
      <c r="E17" s="86">
        <f t="shared" si="1"/>
        <v>1111728.556596779</v>
      </c>
    </row>
    <row r="18" spans="1:5" x14ac:dyDescent="0.25">
      <c r="A18" s="107">
        <f t="shared" si="0"/>
        <v>13</v>
      </c>
      <c r="B18" s="105">
        <v>2034</v>
      </c>
      <c r="C18" s="87">
        <f>C17+C17*'%_CO_CI_CP'!E18</f>
        <v>1114206.9201238796</v>
      </c>
      <c r="D18" s="87">
        <f>D17+D17*'%_CO_CI_CP'!E18</f>
        <v>30873.493170802849</v>
      </c>
      <c r="E18" s="87">
        <f t="shared" si="1"/>
        <v>1145080.4132946825</v>
      </c>
    </row>
    <row r="19" spans="1:5" x14ac:dyDescent="0.25">
      <c r="A19" s="106">
        <f t="shared" si="0"/>
        <v>14</v>
      </c>
      <c r="B19" s="104">
        <v>2035</v>
      </c>
      <c r="C19" s="86">
        <f>C18+C18*'%_CO_CI_CP'!E19</f>
        <v>1117799.5218189193</v>
      </c>
      <c r="D19" s="86">
        <f>D18+D18*'%_CO_CI_CP'!E19</f>
        <v>30973.040357141355</v>
      </c>
      <c r="E19" s="86">
        <f t="shared" si="1"/>
        <v>1148772.5621760606</v>
      </c>
    </row>
    <row r="20" spans="1:5" x14ac:dyDescent="0.25">
      <c r="A20" s="107">
        <f t="shared" si="0"/>
        <v>15</v>
      </c>
      <c r="B20" s="105">
        <v>2036</v>
      </c>
      <c r="C20" s="87">
        <f>C19+C19*'%_CO_CI_CP'!E20</f>
        <v>1121087.688146723</v>
      </c>
      <c r="D20" s="87">
        <f>D19+D19*'%_CO_CI_CP'!E20</f>
        <v>31064.151962025859</v>
      </c>
      <c r="E20" s="87">
        <f t="shared" si="1"/>
        <v>1152151.8401087488</v>
      </c>
    </row>
    <row r="21" spans="1:5" x14ac:dyDescent="0.25">
      <c r="A21" s="106">
        <f t="shared" si="0"/>
        <v>16</v>
      </c>
      <c r="B21" s="104">
        <v>2037</v>
      </c>
      <c r="C21" s="86">
        <f>C20+C20*'%_CO_CI_CP'!E21</f>
        <v>1124068.9754691368</v>
      </c>
      <c r="D21" s="86">
        <f>D20+D20*'%_CO_CI_CP'!E21</f>
        <v>31146.760274832348</v>
      </c>
      <c r="E21" s="86">
        <f t="shared" si="1"/>
        <v>1155215.7357439692</v>
      </c>
    </row>
    <row r="22" spans="1:5" x14ac:dyDescent="0.25">
      <c r="A22" s="107">
        <f t="shared" si="0"/>
        <v>17</v>
      </c>
      <c r="B22" s="105">
        <v>2038</v>
      </c>
      <c r="C22" s="87">
        <f>C21+C21*'%_CO_CI_CP'!E22</f>
        <v>1126745.8030367082</v>
      </c>
      <c r="D22" s="87">
        <f>D21+D21*'%_CO_CI_CP'!E22</f>
        <v>31220.932330430103</v>
      </c>
      <c r="E22" s="87">
        <f t="shared" si="1"/>
        <v>1157966.7353671382</v>
      </c>
    </row>
    <row r="23" spans="1:5" x14ac:dyDescent="0.25">
      <c r="A23" s="106">
        <f t="shared" si="0"/>
        <v>18</v>
      </c>
      <c r="B23" s="104">
        <v>2039</v>
      </c>
      <c r="C23" s="86">
        <f>C22+C22*'%_CO_CI_CP'!E23</f>
        <v>1129120.0779602514</v>
      </c>
      <c r="D23" s="86">
        <f>D22+D22*'%_CO_CI_CP'!E23</f>
        <v>31286.720972839066</v>
      </c>
      <c r="E23" s="86">
        <f t="shared" si="1"/>
        <v>1160406.7989330904</v>
      </c>
    </row>
    <row r="24" spans="1:5" x14ac:dyDescent="0.25">
      <c r="A24" s="107">
        <f t="shared" si="0"/>
        <v>19</v>
      </c>
      <c r="B24" s="105">
        <v>2040</v>
      </c>
      <c r="C24" s="87">
        <f>C23+C23*'%_CO_CI_CP'!E24</f>
        <v>1131194.3511833877</v>
      </c>
      <c r="D24" s="87">
        <f>D23+D23*'%_CO_CI_CP'!E24</f>
        <v>31344.196886004062</v>
      </c>
      <c r="E24" s="87">
        <f t="shared" si="1"/>
        <v>1162538.5480693916</v>
      </c>
    </row>
    <row r="25" spans="1:5" x14ac:dyDescent="0.25">
      <c r="A25" s="106">
        <f t="shared" si="0"/>
        <v>20</v>
      </c>
      <c r="B25" s="104">
        <v>2041</v>
      </c>
      <c r="C25" s="86">
        <f>C24+C24*'%_CO_CI_CP'!E25</f>
        <v>1132971.2858327273</v>
      </c>
      <c r="D25" s="86">
        <f>D24+D24*'%_CO_CI_CP'!E25</f>
        <v>31393.433862341684</v>
      </c>
      <c r="E25" s="86">
        <f t="shared" si="1"/>
        <v>1164364.7196950689</v>
      </c>
    </row>
    <row r="26" spans="1:5" x14ac:dyDescent="0.25">
      <c r="A26" s="107">
        <f t="shared" si="0"/>
        <v>21</v>
      </c>
      <c r="B26" s="105">
        <v>2042</v>
      </c>
      <c r="C26" s="87">
        <f>C25+C25*'%_CO_CI_CP'!E26</f>
        <v>1134455.7447969711</v>
      </c>
      <c r="D26" s="87">
        <f>D25+D25*'%_CO_CI_CP'!E26</f>
        <v>31434.566647345229</v>
      </c>
      <c r="E26" s="87">
        <f t="shared" si="1"/>
        <v>1165890.3114443163</v>
      </c>
    </row>
    <row r="27" spans="1:5" x14ac:dyDescent="0.25">
      <c r="A27" s="106">
        <f t="shared" si="0"/>
        <v>22</v>
      </c>
      <c r="B27" s="104">
        <v>2043</v>
      </c>
      <c r="C27" s="86">
        <f>C26+C26*'%_CO_CI_CP'!E27</f>
        <v>1135653.1031045523</v>
      </c>
      <c r="D27" s="86">
        <f>D26+D26*'%_CO_CI_CP'!E27</f>
        <v>31467.744177357337</v>
      </c>
      <c r="E27" s="86">
        <f t="shared" si="1"/>
        <v>1167120.8472819095</v>
      </c>
    </row>
    <row r="28" spans="1:5" x14ac:dyDescent="0.25">
      <c r="A28" s="107">
        <f t="shared" si="0"/>
        <v>23</v>
      </c>
      <c r="B28" s="105">
        <v>2044</v>
      </c>
      <c r="C28" s="87">
        <f>C27+C27*'%_CO_CI_CP'!E28</f>
        <v>1136564.8630320202</v>
      </c>
      <c r="D28" s="87">
        <f>D27+D27*'%_CO_CI_CP'!E28</f>
        <v>31493.008078869418</v>
      </c>
      <c r="E28" s="87">
        <f t="shared" si="1"/>
        <v>1168057.8711108896</v>
      </c>
    </row>
    <row r="29" spans="1:5" x14ac:dyDescent="0.25">
      <c r="A29" s="106">
        <f t="shared" si="0"/>
        <v>24</v>
      </c>
      <c r="B29" s="104">
        <v>2045</v>
      </c>
      <c r="C29" s="86">
        <f>C28+C28*'%_CO_CI_CP'!E29</f>
        <v>1137192.2537147333</v>
      </c>
      <c r="D29" s="86">
        <f>D28+D28*'%_CO_CI_CP'!E29</f>
        <v>31510.392409919899</v>
      </c>
      <c r="E29" s="86">
        <f t="shared" si="1"/>
        <v>1168702.6461246533</v>
      </c>
    </row>
    <row r="30" spans="1:5" x14ac:dyDescent="0.25">
      <c r="A30" s="107">
        <f t="shared" si="0"/>
        <v>25</v>
      </c>
      <c r="B30" s="105">
        <v>2046</v>
      </c>
      <c r="C30" s="87">
        <f>C29+C29*'%_CO_CI_CP'!E30</f>
        <v>1137536.7627966774</v>
      </c>
      <c r="D30" s="87">
        <f>D29+D29*'%_CO_CI_CP'!E30</f>
        <v>31519.938391547352</v>
      </c>
      <c r="E30" s="87">
        <f t="shared" si="1"/>
        <v>1169056.7011882248</v>
      </c>
    </row>
    <row r="31" spans="1:5" x14ac:dyDescent="0.25">
      <c r="A31" s="106">
        <f t="shared" si="0"/>
        <v>26</v>
      </c>
      <c r="B31" s="104">
        <v>2047</v>
      </c>
      <c r="C31" s="86">
        <f>C30+C30*'%_CO_CI_CP'!E31</f>
        <v>1137602.1849893962</v>
      </c>
      <c r="D31" s="86">
        <f>D30+D30*'%_CO_CI_CP'!E31</f>
        <v>31521.751171187869</v>
      </c>
      <c r="E31" s="86">
        <f t="shared" si="1"/>
        <v>1169123.9361605842</v>
      </c>
    </row>
    <row r="32" spans="1:5" x14ac:dyDescent="0.25">
      <c r="A32" s="107">
        <f t="shared" si="0"/>
        <v>27</v>
      </c>
      <c r="B32" s="105">
        <v>2048</v>
      </c>
      <c r="C32" s="87">
        <f>C31+C31*'%_CO_CI_CP'!E32</f>
        <v>1137391.5346010311</v>
      </c>
      <c r="D32" s="87">
        <f>D31+D31*'%_CO_CI_CP'!E32</f>
        <v>31515.914272126163</v>
      </c>
      <c r="E32" s="87">
        <f t="shared" si="1"/>
        <v>1168907.4488731574</v>
      </c>
    </row>
    <row r="33" spans="1:5" x14ac:dyDescent="0.25">
      <c r="A33" s="106">
        <f t="shared" si="0"/>
        <v>28</v>
      </c>
      <c r="B33" s="104">
        <v>2049</v>
      </c>
      <c r="C33" s="86">
        <f>C32+C32*'%_CO_CI_CP'!E33</f>
        <v>1136903.6946792125</v>
      </c>
      <c r="D33" s="86">
        <f>D32+D32*'%_CO_CI_CP'!E33</f>
        <v>31502.396744795569</v>
      </c>
      <c r="E33" s="86">
        <f t="shared" si="1"/>
        <v>1168406.0914240081</v>
      </c>
    </row>
    <row r="34" spans="1:5" x14ac:dyDescent="0.25">
      <c r="A34" s="107">
        <f t="shared" si="0"/>
        <v>29</v>
      </c>
      <c r="B34" s="105">
        <v>2050</v>
      </c>
      <c r="C34" s="87">
        <f>C33+C33*'%_CO_CI_CP'!E34</f>
        <v>1136137.0068667105</v>
      </c>
      <c r="D34" s="87">
        <f>D33+D33*'%_CO_CI_CP'!E34</f>
        <v>31481.152637874398</v>
      </c>
      <c r="E34" s="87">
        <f t="shared" si="1"/>
        <v>1167618.159504585</v>
      </c>
    </row>
    <row r="35" spans="1:5" x14ac:dyDescent="0.25">
      <c r="A35" s="106">
        <f t="shared" si="0"/>
        <v>30</v>
      </c>
      <c r="B35" s="104">
        <v>2051</v>
      </c>
      <c r="C35" s="86">
        <f>C34+C34*'%_CO_CI_CP'!E35</f>
        <v>1135092.6954213625</v>
      </c>
      <c r="D35" s="86">
        <f>D34+D34*'%_CO_CI_CP'!E35</f>
        <v>31452.215874250134</v>
      </c>
      <c r="E35" s="86">
        <f t="shared" si="1"/>
        <v>1166544.9112956126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E5E5E-724E-4D1E-A789-73197756B920}">
  <dimension ref="A1:M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4.42578125" customWidth="1"/>
    <col min="6" max="6" width="15" customWidth="1"/>
    <col min="9" max="9" width="12.42578125" customWidth="1"/>
    <col min="10" max="10" width="11.7109375" customWidth="1"/>
  </cols>
  <sheetData>
    <row r="1" spans="1:13" x14ac:dyDescent="0.25">
      <c r="A1" s="78" t="s">
        <v>292</v>
      </c>
      <c r="B1" s="174"/>
      <c r="C1" s="78" t="s">
        <v>545</v>
      </c>
    </row>
    <row r="2" spans="1:13" x14ac:dyDescent="0.25">
      <c r="A2" s="78"/>
      <c r="B2" s="174"/>
    </row>
    <row r="4" spans="1:13" ht="25.5" x14ac:dyDescent="0.25">
      <c r="A4" s="108" t="s">
        <v>360</v>
      </c>
      <c r="B4" s="108" t="s">
        <v>30</v>
      </c>
      <c r="C4" s="108" t="s">
        <v>23</v>
      </c>
      <c r="D4" s="108" t="s">
        <v>24</v>
      </c>
      <c r="E4" s="108" t="s">
        <v>314</v>
      </c>
      <c r="F4" s="108" t="s">
        <v>293</v>
      </c>
    </row>
    <row r="5" spans="1:13" x14ac:dyDescent="0.25">
      <c r="A5" s="106">
        <v>0</v>
      </c>
      <c r="B5" s="104">
        <v>2021</v>
      </c>
      <c r="C5" s="86">
        <f>'Tabela 17'!F18+'Tabela 17'!F18*'%_CO_CI_CP'!E5</f>
        <v>111493.8</v>
      </c>
      <c r="D5" s="86">
        <f>'Tabela 17'!G18+'Tabela 17'!G18*'%_CO_CI_CP'!E5</f>
        <v>40942</v>
      </c>
      <c r="E5" s="86">
        <f>'Tabela 17'!H18+'Tabela 17'!H18*'%_CO_CI_CP'!E5</f>
        <v>473869</v>
      </c>
      <c r="F5" s="86">
        <f>C5+D5+E5</f>
        <v>626304.80000000005</v>
      </c>
      <c r="G5" s="5"/>
    </row>
    <row r="6" spans="1:13" x14ac:dyDescent="0.25">
      <c r="A6" s="107">
        <f>A5+1</f>
        <v>1</v>
      </c>
      <c r="B6" s="105">
        <v>2022</v>
      </c>
      <c r="C6" s="87">
        <f>C5+C5*'%_CO_CI_CP'!E6</f>
        <v>133792.56</v>
      </c>
      <c r="D6" s="87">
        <f>D5+D5*'%_CO_CI_CP'!E6</f>
        <v>49130.400000000001</v>
      </c>
      <c r="E6" s="87">
        <f>E5+E5*'%_CO_CI_CP'!E6</f>
        <v>568642.80000000005</v>
      </c>
      <c r="F6" s="87">
        <f t="shared" ref="F6:F35" si="0">C6+D6+E6</f>
        <v>751565.76</v>
      </c>
      <c r="G6" s="5"/>
      <c r="K6" s="5"/>
      <c r="L6" s="5"/>
      <c r="M6" s="5"/>
    </row>
    <row r="7" spans="1:13" x14ac:dyDescent="0.25">
      <c r="A7" s="106">
        <f t="shared" ref="A7:A35" si="1">A6+1</f>
        <v>2</v>
      </c>
      <c r="B7" s="104">
        <v>2023</v>
      </c>
      <c r="C7" s="86">
        <f>C6+C6*'%_CO_CI_CP'!E7</f>
        <v>173930.32799999998</v>
      </c>
      <c r="D7" s="86">
        <f>D6+D6*'%_CO_CI_CP'!E7</f>
        <v>63869.520000000004</v>
      </c>
      <c r="E7" s="86">
        <f>E6+E6*'%_CO_CI_CP'!E7</f>
        <v>739235.64</v>
      </c>
      <c r="F7" s="111">
        <f t="shared" si="0"/>
        <v>977035.48800000001</v>
      </c>
      <c r="H7" s="5"/>
      <c r="I7" s="5"/>
      <c r="J7" s="5"/>
      <c r="K7" s="5"/>
      <c r="L7" s="5"/>
      <c r="M7" s="5"/>
    </row>
    <row r="8" spans="1:13" x14ac:dyDescent="0.25">
      <c r="A8" s="107">
        <f t="shared" si="1"/>
        <v>3</v>
      </c>
      <c r="B8" s="105">
        <v>2024</v>
      </c>
      <c r="C8" s="87">
        <f>C7+C7*'%_CO_CI_CP'!E8</f>
        <v>226109.42639999997</v>
      </c>
      <c r="D8" s="87">
        <f>D7+D7*'%_CO_CI_CP'!E8</f>
        <v>83030.376000000004</v>
      </c>
      <c r="E8" s="87">
        <f>E7+E7*'%_CO_CI_CP'!E8</f>
        <v>961006.33200000005</v>
      </c>
      <c r="F8" s="87">
        <f t="shared" si="0"/>
        <v>1270146.1344000001</v>
      </c>
      <c r="H8" s="5"/>
      <c r="I8" s="5"/>
      <c r="J8" s="5"/>
      <c r="K8" s="5"/>
      <c r="L8" s="5"/>
      <c r="M8" s="5"/>
    </row>
    <row r="9" spans="1:13" x14ac:dyDescent="0.25">
      <c r="A9" s="106">
        <f t="shared" si="1"/>
        <v>4</v>
      </c>
      <c r="B9" s="104">
        <v>2025</v>
      </c>
      <c r="C9" s="86">
        <f>C8+C8*'%_CO_CI_CP'!E9</f>
        <v>232892.70919199998</v>
      </c>
      <c r="D9" s="86">
        <f>D8+D8*'%_CO_CI_CP'!E9</f>
        <v>85521.287280000004</v>
      </c>
      <c r="E9" s="86">
        <f>E8+E8*'%_CO_CI_CP'!E9</f>
        <v>989836.52196000004</v>
      </c>
      <c r="F9" s="86">
        <f t="shared" si="0"/>
        <v>1308250.518432</v>
      </c>
    </row>
    <row r="10" spans="1:13" x14ac:dyDescent="0.25">
      <c r="A10" s="107">
        <f t="shared" si="1"/>
        <v>5</v>
      </c>
      <c r="B10" s="105">
        <v>2026</v>
      </c>
      <c r="C10" s="87">
        <f>C9+C9*'%_CO_CI_CP'!E10</f>
        <v>239879.49046775998</v>
      </c>
      <c r="D10" s="87">
        <f>D9+D9*'%_CO_CI_CP'!E10</f>
        <v>88086.925898400004</v>
      </c>
      <c r="E10" s="87">
        <f>E9+E9*'%_CO_CI_CP'!E10</f>
        <v>1019531.6176188</v>
      </c>
      <c r="F10" s="87">
        <f t="shared" si="0"/>
        <v>1347498.0339849601</v>
      </c>
    </row>
    <row r="11" spans="1:13" x14ac:dyDescent="0.25">
      <c r="A11" s="106">
        <f t="shared" si="1"/>
        <v>6</v>
      </c>
      <c r="B11" s="104">
        <v>2027</v>
      </c>
      <c r="C11" s="86">
        <f>C10+C10*'%_CO_CI_CP'!E11</f>
        <v>247075.87518179277</v>
      </c>
      <c r="D11" s="86">
        <f>D10+D10*'%_CO_CI_CP'!E11</f>
        <v>90729.53367535201</v>
      </c>
      <c r="E11" s="86">
        <f>E10+E10*'%_CO_CI_CP'!E11</f>
        <v>1050117.566147364</v>
      </c>
      <c r="F11" s="86">
        <f t="shared" si="0"/>
        <v>1387922.9750045086</v>
      </c>
    </row>
    <row r="12" spans="1:13" x14ac:dyDescent="0.25">
      <c r="A12" s="107">
        <f t="shared" si="1"/>
        <v>7</v>
      </c>
      <c r="B12" s="105">
        <v>2028</v>
      </c>
      <c r="C12" s="87">
        <f>C11+C11*'%_CO_CI_CP'!E12</f>
        <v>254488.15143724656</v>
      </c>
      <c r="D12" s="87">
        <f>D11+D11*'%_CO_CI_CP'!E12</f>
        <v>93451.419685612564</v>
      </c>
      <c r="E12" s="87">
        <f>E11+E11*'%_CO_CI_CP'!E12</f>
        <v>1081621.0931317848</v>
      </c>
      <c r="F12" s="87">
        <f t="shared" si="0"/>
        <v>1429560.664254644</v>
      </c>
    </row>
    <row r="13" spans="1:13" x14ac:dyDescent="0.25">
      <c r="A13" s="106">
        <f t="shared" si="1"/>
        <v>8</v>
      </c>
      <c r="B13" s="104">
        <v>2029</v>
      </c>
      <c r="C13" s="86">
        <f>C12+C12*'%_CO_CI_CP'!E13</f>
        <v>262122.79598036397</v>
      </c>
      <c r="D13" s="86">
        <f>D12+D12*'%_CO_CI_CP'!E13</f>
        <v>96254.962276180944</v>
      </c>
      <c r="E13" s="86">
        <f>E12+E12*'%_CO_CI_CP'!E13</f>
        <v>1114069.7259257385</v>
      </c>
      <c r="F13" s="86">
        <f t="shared" si="0"/>
        <v>1472447.4841822833</v>
      </c>
    </row>
    <row r="14" spans="1:13" x14ac:dyDescent="0.25">
      <c r="A14" s="107">
        <f t="shared" si="1"/>
        <v>9</v>
      </c>
      <c r="B14" s="105">
        <v>2030</v>
      </c>
      <c r="C14" s="87">
        <f>C13+C13*'%_CO_CI_CP'!E14</f>
        <v>269986.47985977487</v>
      </c>
      <c r="D14" s="87">
        <f>D13+D13*'%_CO_CI_CP'!E14</f>
        <v>99142.611144466369</v>
      </c>
      <c r="E14" s="87">
        <f>E13+E13*'%_CO_CI_CP'!E14</f>
        <v>1147491.8177035106</v>
      </c>
      <c r="F14" s="87">
        <f t="shared" si="0"/>
        <v>1516620.9087077519</v>
      </c>
    </row>
    <row r="15" spans="1:13" x14ac:dyDescent="0.25">
      <c r="A15" s="106">
        <f t="shared" si="1"/>
        <v>10</v>
      </c>
      <c r="B15" s="104">
        <v>2031</v>
      </c>
      <c r="C15" s="86">
        <f>C14+C14*'%_CO_CI_CP'!E15</f>
        <v>278086.07425556809</v>
      </c>
      <c r="D15" s="86">
        <f>D14+D14*'%_CO_CI_CP'!E15</f>
        <v>102116.88947880037</v>
      </c>
      <c r="E15" s="86">
        <f>E14+E14*'%_CO_CI_CP'!E15</f>
        <v>1181916.5722346159</v>
      </c>
      <c r="F15" s="86">
        <f t="shared" si="0"/>
        <v>1562119.5359689845</v>
      </c>
    </row>
    <row r="16" spans="1:13" x14ac:dyDescent="0.25">
      <c r="A16" s="107">
        <f t="shared" si="1"/>
        <v>11</v>
      </c>
      <c r="B16" s="105">
        <v>2032</v>
      </c>
      <c r="C16" s="87">
        <f>C15+C15*'%_CO_CI_CP'!E16</f>
        <v>286428.65648323513</v>
      </c>
      <c r="D16" s="87">
        <f>D15+D15*'%_CO_CI_CP'!E16</f>
        <v>105180.39616316438</v>
      </c>
      <c r="E16" s="87">
        <f>E15+E15*'%_CO_CI_CP'!E16</f>
        <v>1217374.0694016544</v>
      </c>
      <c r="F16" s="87">
        <f t="shared" si="0"/>
        <v>1608983.1220480539</v>
      </c>
    </row>
    <row r="17" spans="1:6" x14ac:dyDescent="0.25">
      <c r="A17" s="106">
        <f t="shared" si="1"/>
        <v>12</v>
      </c>
      <c r="B17" s="104">
        <v>2033</v>
      </c>
      <c r="C17" s="86">
        <f>C16+C16*'%_CO_CI_CP'!E17</f>
        <v>295021.51617773221</v>
      </c>
      <c r="D17" s="86">
        <f>D16+D16*'%_CO_CI_CP'!E17</f>
        <v>108335.80804805931</v>
      </c>
      <c r="E17" s="86">
        <f>E16+E16*'%_CO_CI_CP'!E17</f>
        <v>1253895.291483704</v>
      </c>
      <c r="F17" s="86">
        <f t="shared" si="0"/>
        <v>1657252.6157094955</v>
      </c>
    </row>
    <row r="18" spans="1:6" x14ac:dyDescent="0.25">
      <c r="A18" s="107">
        <f t="shared" si="1"/>
        <v>13</v>
      </c>
      <c r="B18" s="105">
        <v>2034</v>
      </c>
      <c r="C18" s="87">
        <f>C17+C17*'%_CO_CI_CP'!E18</f>
        <v>303872.16166306415</v>
      </c>
      <c r="D18" s="87">
        <f>D17+D17*'%_CO_CI_CP'!E18</f>
        <v>111585.88228950108</v>
      </c>
      <c r="E18" s="87">
        <f>E17+E17*'%_CO_CI_CP'!E18</f>
        <v>1291512.1502282151</v>
      </c>
      <c r="F18" s="87">
        <f t="shared" si="0"/>
        <v>1706970.1941807803</v>
      </c>
    </row>
    <row r="19" spans="1:6" x14ac:dyDescent="0.25">
      <c r="A19" s="106">
        <f t="shared" si="1"/>
        <v>14</v>
      </c>
      <c r="B19" s="104">
        <v>2035</v>
      </c>
      <c r="C19" s="86">
        <f>C18+C18*'%_CO_CI_CP'!E19</f>
        <v>304851.9542162685</v>
      </c>
      <c r="D19" s="86">
        <f>D18+D18*'%_CO_CI_CP'!E19</f>
        <v>111945.67509155189</v>
      </c>
      <c r="E19" s="86">
        <f>E18+E18*'%_CO_CI_CP'!E19</f>
        <v>1295676.4474124028</v>
      </c>
      <c r="F19" s="86">
        <f t="shared" si="0"/>
        <v>1712474.0767202233</v>
      </c>
    </row>
    <row r="20" spans="1:6" x14ac:dyDescent="0.25">
      <c r="A20" s="107">
        <f t="shared" si="1"/>
        <v>15</v>
      </c>
      <c r="B20" s="105">
        <v>2036</v>
      </c>
      <c r="C20" s="87">
        <f>C19+C19*'%_CO_CI_CP'!E20</f>
        <v>305748.71961225639</v>
      </c>
      <c r="D20" s="87">
        <f>D19+D19*'%_CO_CI_CP'!E20</f>
        <v>112274.97922184916</v>
      </c>
      <c r="E20" s="87">
        <f>E19+E19*'%_CO_CI_CP'!E20</f>
        <v>1299487.8640241912</v>
      </c>
      <c r="F20" s="87">
        <f t="shared" si="0"/>
        <v>1717511.5628582968</v>
      </c>
    </row>
    <row r="21" spans="1:6" x14ac:dyDescent="0.25">
      <c r="A21" s="106">
        <f t="shared" si="1"/>
        <v>16</v>
      </c>
      <c r="B21" s="104">
        <v>2037</v>
      </c>
      <c r="C21" s="86">
        <f>C20+C20*'%_CO_CI_CP'!E21</f>
        <v>306561.79140963842</v>
      </c>
      <c r="D21" s="86">
        <f>D20+D20*'%_CO_CI_CP'!E21</f>
        <v>112573.54995428823</v>
      </c>
      <c r="E21" s="86">
        <f>E20+E20*'%_CO_CI_CP'!E21</f>
        <v>1302943.5675660348</v>
      </c>
      <c r="F21" s="86">
        <f t="shared" si="0"/>
        <v>1722078.9089299615</v>
      </c>
    </row>
    <row r="22" spans="1:6" x14ac:dyDescent="0.25">
      <c r="A22" s="107">
        <f t="shared" si="1"/>
        <v>17</v>
      </c>
      <c r="B22" s="105">
        <v>2038</v>
      </c>
      <c r="C22" s="87">
        <f>C21+C21*'%_CO_CI_CP'!E22</f>
        <v>307291.82939869235</v>
      </c>
      <c r="D22" s="87">
        <f>D21+D21*'%_CO_CI_CP'!E22</f>
        <v>112841.62957259746</v>
      </c>
      <c r="E22" s="87">
        <f>E21+E21*'%_CO_CI_CP'!E22</f>
        <v>1306046.3622670406</v>
      </c>
      <c r="F22" s="87">
        <f t="shared" si="0"/>
        <v>1726179.8212383306</v>
      </c>
    </row>
    <row r="23" spans="1:6" x14ac:dyDescent="0.25">
      <c r="A23" s="106">
        <f t="shared" si="1"/>
        <v>18</v>
      </c>
      <c r="B23" s="104">
        <v>2039</v>
      </c>
      <c r="C23" s="86">
        <f>C22+C22*'%_CO_CI_CP'!E23</f>
        <v>307939.35369635088</v>
      </c>
      <c r="D23" s="86">
        <f>D22+D22*'%_CO_CI_CP'!E23</f>
        <v>113079.40907060305</v>
      </c>
      <c r="E23" s="86">
        <f>E22+E22*'%_CO_CI_CP'!E23</f>
        <v>1308798.4587191048</v>
      </c>
      <c r="F23" s="86">
        <f t="shared" si="0"/>
        <v>1729817.2214860586</v>
      </c>
    </row>
    <row r="24" spans="1:6" x14ac:dyDescent="0.25">
      <c r="A24" s="107">
        <f t="shared" si="1"/>
        <v>19</v>
      </c>
      <c r="B24" s="105">
        <v>2040</v>
      </c>
      <c r="C24" s="87">
        <f>C23+C23*'%_CO_CI_CP'!E24</f>
        <v>308505.06000889483</v>
      </c>
      <c r="D24" s="87">
        <f>D23+D23*'%_CO_CI_CP'!E24</f>
        <v>113287.14392086536</v>
      </c>
      <c r="E24" s="87">
        <f>E23+E23*'%_CO_CI_CP'!E24</f>
        <v>1311202.8138009021</v>
      </c>
      <c r="F24" s="87">
        <f t="shared" si="0"/>
        <v>1732995.0177306624</v>
      </c>
    </row>
    <row r="25" spans="1:6" x14ac:dyDescent="0.25">
      <c r="A25" s="106">
        <f t="shared" si="1"/>
        <v>20</v>
      </c>
      <c r="B25" s="104">
        <v>2041</v>
      </c>
      <c r="C25" s="86">
        <f>C24+C24*'%_CO_CI_CP'!E25</f>
        <v>308989.67463771877</v>
      </c>
      <c r="D25" s="86">
        <f>D24+D24*'%_CO_CI_CP'!E25</f>
        <v>113465.10083087569</v>
      </c>
      <c r="E25" s="86">
        <f>E24+E24*'%_CO_CI_CP'!E25</f>
        <v>1313262.5144259247</v>
      </c>
      <c r="F25" s="86">
        <f t="shared" si="0"/>
        <v>1735717.2898945191</v>
      </c>
    </row>
    <row r="26" spans="1:6" x14ac:dyDescent="0.25">
      <c r="A26" s="107">
        <f t="shared" si="1"/>
        <v>21</v>
      </c>
      <c r="B26" s="105">
        <v>2042</v>
      </c>
      <c r="C26" s="87">
        <f>C25+C25*'%_CO_CI_CP'!E26</f>
        <v>309394.52381448989</v>
      </c>
      <c r="D26" s="87">
        <f>D25+D25*'%_CO_CI_CP'!E26</f>
        <v>113613.76681046706</v>
      </c>
      <c r="E26" s="87">
        <f>E25+E25*'%_CO_CI_CP'!E26</f>
        <v>1314983.1973208245</v>
      </c>
      <c r="F26" s="87">
        <f t="shared" si="0"/>
        <v>1737991.4879457816</v>
      </c>
    </row>
    <row r="27" spans="1:6" x14ac:dyDescent="0.25">
      <c r="A27" s="106">
        <f t="shared" si="1"/>
        <v>22</v>
      </c>
      <c r="B27" s="104">
        <v>2043</v>
      </c>
      <c r="C27" s="86">
        <f>C26+C26*'%_CO_CI_CP'!E27</f>
        <v>309721.07344422064</v>
      </c>
      <c r="D27" s="86">
        <f>D26+D26*'%_CO_CI_CP'!E27</f>
        <v>113733.68015937468</v>
      </c>
      <c r="E27" s="86">
        <f>E26+E26*'%_CO_CI_CP'!E27</f>
        <v>1316371.0928494628</v>
      </c>
      <c r="F27" s="86">
        <f t="shared" si="0"/>
        <v>1739825.8464530581</v>
      </c>
    </row>
    <row r="28" spans="1:6" x14ac:dyDescent="0.25">
      <c r="A28" s="107">
        <f t="shared" si="1"/>
        <v>23</v>
      </c>
      <c r="B28" s="105">
        <v>2044</v>
      </c>
      <c r="C28" s="87">
        <f>C27+C27*'%_CO_CI_CP'!E28</f>
        <v>309969.73323538998</v>
      </c>
      <c r="D28" s="87">
        <f>D27+D27*'%_CO_CI_CP'!E28</f>
        <v>113824.99132797826</v>
      </c>
      <c r="E28" s="87">
        <f>E27+E27*'%_CO_CI_CP'!E28</f>
        <v>1317427.9423476555</v>
      </c>
      <c r="F28" s="87">
        <f t="shared" si="0"/>
        <v>1741222.6669110237</v>
      </c>
    </row>
    <row r="29" spans="1:6" x14ac:dyDescent="0.25">
      <c r="A29" s="106">
        <f t="shared" si="1"/>
        <v>24</v>
      </c>
      <c r="B29" s="104">
        <v>2045</v>
      </c>
      <c r="C29" s="86">
        <f>C28+C28*'%_CO_CI_CP'!E29</f>
        <v>310140.83840402612</v>
      </c>
      <c r="D29" s="86">
        <f>D28+D28*'%_CO_CI_CP'!E29</f>
        <v>113887.82341204303</v>
      </c>
      <c r="E29" s="86">
        <f>E28+E28*'%_CO_CI_CP'!E29</f>
        <v>1318155.170544707</v>
      </c>
      <c r="F29" s="86">
        <f t="shared" si="0"/>
        <v>1742183.8323607761</v>
      </c>
    </row>
    <row r="30" spans="1:6" x14ac:dyDescent="0.25">
      <c r="A30" s="107">
        <f t="shared" si="1"/>
        <v>25</v>
      </c>
      <c r="B30" s="105">
        <v>2046</v>
      </c>
      <c r="C30" s="87">
        <f>C29+C29*'%_CO_CI_CP'!E30</f>
        <v>310234.79466794099</v>
      </c>
      <c r="D30" s="87">
        <f>D29+D29*'%_CO_CI_CP'!E30</f>
        <v>113922.32539652291</v>
      </c>
      <c r="E30" s="87">
        <f>E29+E29*'%_CO_CI_CP'!E30</f>
        <v>1318554.5018153703</v>
      </c>
      <c r="F30" s="87">
        <f t="shared" si="0"/>
        <v>1742711.6218798342</v>
      </c>
    </row>
    <row r="31" spans="1:6" x14ac:dyDescent="0.25">
      <c r="A31" s="106">
        <f t="shared" si="1"/>
        <v>26</v>
      </c>
      <c r="B31" s="104">
        <v>2047</v>
      </c>
      <c r="C31" s="86">
        <f>C30+C30*'%_CO_CI_CP'!E31</f>
        <v>310252.63694011071</v>
      </c>
      <c r="D31" s="86">
        <f>D30+D30*'%_CO_CI_CP'!E31</f>
        <v>113928.87731516926</v>
      </c>
      <c r="E31" s="86">
        <f>E30+E30*'%_CO_CI_CP'!E31</f>
        <v>1318630.3347286873</v>
      </c>
      <c r="F31" s="86">
        <f t="shared" si="0"/>
        <v>1742811.8489839672</v>
      </c>
    </row>
    <row r="32" spans="1:6" x14ac:dyDescent="0.25">
      <c r="A32" s="107">
        <f t="shared" si="1"/>
        <v>27</v>
      </c>
      <c r="B32" s="105">
        <v>2048</v>
      </c>
      <c r="C32" s="87">
        <f>C31+C31*'%_CO_CI_CP'!E32</f>
        <v>310195.18729793781</v>
      </c>
      <c r="D32" s="87">
        <f>D31+D31*'%_CO_CI_CP'!E32</f>
        <v>113907.78104569201</v>
      </c>
      <c r="E32" s="87">
        <f>E31+E31*'%_CO_CI_CP'!E32</f>
        <v>1318386.1632636657</v>
      </c>
      <c r="F32" s="87">
        <f t="shared" si="0"/>
        <v>1742489.1316072955</v>
      </c>
    </row>
    <row r="33" spans="1:6" x14ac:dyDescent="0.25">
      <c r="A33" s="106">
        <f t="shared" si="1"/>
        <v>28</v>
      </c>
      <c r="B33" s="104">
        <v>2049</v>
      </c>
      <c r="C33" s="86">
        <f>C32+C32*'%_CO_CI_CP'!E33</f>
        <v>310062.14112050779</v>
      </c>
      <c r="D33" s="86">
        <f>D32+D32*'%_CO_CI_CP'!E33</f>
        <v>113858.9247272569</v>
      </c>
      <c r="E33" s="86">
        <f>E32+E32*'%_CO_CI_CP'!E33</f>
        <v>1317820.6927258188</v>
      </c>
      <c r="F33" s="86">
        <f t="shared" si="0"/>
        <v>1741741.7585735836</v>
      </c>
    </row>
    <row r="34" spans="1:6" x14ac:dyDescent="0.25">
      <c r="A34" s="107">
        <f t="shared" si="1"/>
        <v>29</v>
      </c>
      <c r="B34" s="105">
        <v>2050</v>
      </c>
      <c r="C34" s="87">
        <f>C33+C33*'%_CO_CI_CP'!E34</f>
        <v>309853.046132227</v>
      </c>
      <c r="D34" s="87">
        <f>D33+D33*'%_CO_CI_CP'!E34</f>
        <v>113782.14227827595</v>
      </c>
      <c r="E34" s="87">
        <f>E33+E33*'%_CO_CI_CP'!E34</f>
        <v>1316932.0008613237</v>
      </c>
      <c r="F34" s="87">
        <f t="shared" si="0"/>
        <v>1740567.1892718268</v>
      </c>
    </row>
    <row r="35" spans="1:6" x14ac:dyDescent="0.25">
      <c r="A35" s="106">
        <f t="shared" si="1"/>
        <v>30</v>
      </c>
      <c r="B35" s="104">
        <v>2051</v>
      </c>
      <c r="C35" s="86">
        <f>C34+C34*'%_CO_CI_CP'!E35</f>
        <v>309568.23621890129</v>
      </c>
      <c r="D35" s="86">
        <f>D34+D34*'%_CO_CI_CP'!E35</f>
        <v>113677.5563060391</v>
      </c>
      <c r="E35" s="86">
        <f>E34+E34*'%_CO_CI_CP'!E35</f>
        <v>1315721.5067457967</v>
      </c>
      <c r="F35" s="86">
        <f t="shared" si="0"/>
        <v>1738967.299270737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76E59-BD99-47AC-B96E-7FF9B9691644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539</v>
      </c>
    </row>
    <row r="2" spans="1:12" x14ac:dyDescent="0.25">
      <c r="B2" s="151"/>
    </row>
    <row r="4" spans="1:12" ht="25.5" x14ac:dyDescent="0.25">
      <c r="A4" s="108" t="s">
        <v>360</v>
      </c>
      <c r="B4" s="108" t="s">
        <v>30</v>
      </c>
      <c r="C4" s="108" t="s">
        <v>2</v>
      </c>
      <c r="D4" s="108" t="s">
        <v>4</v>
      </c>
      <c r="E4" s="108" t="s">
        <v>293</v>
      </c>
    </row>
    <row r="5" spans="1:12" x14ac:dyDescent="0.25">
      <c r="A5" s="106">
        <v>0</v>
      </c>
      <c r="B5" s="104">
        <v>2021</v>
      </c>
      <c r="C5" s="86">
        <f>'Tabela 15'!B17+'Tabela 15'!B17*'%_CO_CI_CP'!D5</f>
        <v>2105579.7000000002</v>
      </c>
      <c r="D5" s="86">
        <f>'Tabela 15'!C17+'Tabela 15'!C17*'%_CO_CI_CP'!D5</f>
        <v>2084616.45</v>
      </c>
      <c r="E5" s="86">
        <f>C5+D5</f>
        <v>4190196.1500000004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C5+C5*'%_CO_CI_CP'!D6</f>
        <v>2316137.6700000004</v>
      </c>
      <c r="D6" s="87">
        <f>D5+D5*'%_CO_CI_CP'!D6</f>
        <v>2293078.0949999997</v>
      </c>
      <c r="E6" s="87">
        <f>C6+D6</f>
        <v>4609215.7650000006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C6+C6*'%_CO_CI_CP'!D7</f>
        <v>2663558.3205000004</v>
      </c>
      <c r="D7" s="86">
        <f>D6+D6*'%_CO_CI_CP'!D7</f>
        <v>2637039.8092499999</v>
      </c>
      <c r="E7" s="86">
        <f t="shared" ref="E7:E35" si="1">C7+D7</f>
        <v>5300598.1297500003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C7+C7*'%_CO_CI_CP'!D8</f>
        <v>3063092.0685750004</v>
      </c>
      <c r="D8" s="87">
        <f>D7+D7*'%_CO_CI_CP'!D8</f>
        <v>3032595.7806374999</v>
      </c>
      <c r="E8" s="87">
        <f t="shared" si="1"/>
        <v>6095687.8492125003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C8+C8*'%_CO_CI_CP'!D9</f>
        <v>3675710.4822900007</v>
      </c>
      <c r="D9" s="86">
        <f>D8+D8*'%_CO_CI_CP'!D9</f>
        <v>3639114.9367649998</v>
      </c>
      <c r="E9" s="111">
        <f t="shared" si="1"/>
        <v>7314825.4190549999</v>
      </c>
    </row>
    <row r="10" spans="1:12" x14ac:dyDescent="0.25">
      <c r="A10" s="107">
        <f t="shared" si="0"/>
        <v>5</v>
      </c>
      <c r="B10" s="105">
        <v>2026</v>
      </c>
      <c r="C10" s="87">
        <f>C9+C9*'%_CO_CI_CP'!D10</f>
        <v>4410852.5787480008</v>
      </c>
      <c r="D10" s="87">
        <f>D9+D9*'%_CO_CI_CP'!D10</f>
        <v>4366937.9241180001</v>
      </c>
      <c r="E10" s="87">
        <f t="shared" si="1"/>
        <v>8777790.5028659999</v>
      </c>
    </row>
    <row r="11" spans="1:12" x14ac:dyDescent="0.25">
      <c r="A11" s="106">
        <f t="shared" si="0"/>
        <v>6</v>
      </c>
      <c r="B11" s="104">
        <v>2027</v>
      </c>
      <c r="C11" s="86">
        <f>C10+C10*'%_CO_CI_CP'!D11</f>
        <v>4516713.0406379532</v>
      </c>
      <c r="D11" s="86">
        <f>D10+D10*'%_CO_CI_CP'!D11</f>
        <v>4471744.4342968324</v>
      </c>
      <c r="E11" s="86">
        <f t="shared" si="1"/>
        <v>8988457.4749347866</v>
      </c>
    </row>
    <row r="12" spans="1:12" x14ac:dyDescent="0.25">
      <c r="A12" s="107">
        <f t="shared" si="0"/>
        <v>7</v>
      </c>
      <c r="B12" s="105">
        <v>2028</v>
      </c>
      <c r="C12" s="87">
        <f>C11+C11*'%_CO_CI_CP'!D12</f>
        <v>4625114.1536132637</v>
      </c>
      <c r="D12" s="87">
        <f>D11+D11*'%_CO_CI_CP'!D12</f>
        <v>4579066.3007199559</v>
      </c>
      <c r="E12" s="87">
        <f t="shared" si="1"/>
        <v>9204180.4543332197</v>
      </c>
    </row>
    <row r="13" spans="1:12" x14ac:dyDescent="0.25">
      <c r="A13" s="106">
        <f t="shared" si="0"/>
        <v>8</v>
      </c>
      <c r="B13" s="104">
        <v>2029</v>
      </c>
      <c r="C13" s="86">
        <f>C12+C12*'%_CO_CI_CP'!D13</f>
        <v>4736116.893299982</v>
      </c>
      <c r="D13" s="86">
        <f>D12+D12*'%_CO_CI_CP'!D13</f>
        <v>4688963.8919372344</v>
      </c>
      <c r="E13" s="86">
        <f t="shared" si="1"/>
        <v>9425080.7852372155</v>
      </c>
    </row>
    <row r="14" spans="1:12" x14ac:dyDescent="0.25">
      <c r="A14" s="107">
        <f t="shared" si="0"/>
        <v>9</v>
      </c>
      <c r="B14" s="105">
        <v>2030</v>
      </c>
      <c r="C14" s="87">
        <f>C13+C13*'%_CO_CI_CP'!D14</f>
        <v>4849783.6987391813</v>
      </c>
      <c r="D14" s="87">
        <f>D13+D13*'%_CO_CI_CP'!D14</f>
        <v>4801499.0253437283</v>
      </c>
      <c r="E14" s="87">
        <f t="shared" si="1"/>
        <v>9651282.7240829095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C14+C14*'%_CO_CI_CP'!D15</f>
        <v>4966178.5075089214</v>
      </c>
      <c r="D15" s="86">
        <f>D14+D14*'%_CO_CI_CP'!D15</f>
        <v>4916735.0019519776</v>
      </c>
      <c r="E15" s="86">
        <f t="shared" si="1"/>
        <v>9882913.5094609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C15+C15*'%_CO_CI_CP'!D16</f>
        <v>5085366.7916891351</v>
      </c>
      <c r="D16" s="87">
        <f>D15+D15*'%_CO_CI_CP'!D16</f>
        <v>5034736.6419988247</v>
      </c>
      <c r="E16" s="87">
        <f t="shared" si="1"/>
        <v>10120103.433687959</v>
      </c>
    </row>
    <row r="17" spans="1:5" x14ac:dyDescent="0.25">
      <c r="A17" s="106">
        <f t="shared" si="0"/>
        <v>12</v>
      </c>
      <c r="B17" s="104">
        <v>2033</v>
      </c>
      <c r="C17" s="86">
        <f>C16+C16*'%_CO_CI_CP'!D17</f>
        <v>5207415.5946896747</v>
      </c>
      <c r="D17" s="86">
        <f>D16+D16*'%_CO_CI_CP'!D17</f>
        <v>5155570.3214067966</v>
      </c>
      <c r="E17" s="86">
        <f t="shared" si="1"/>
        <v>10362985.916096471</v>
      </c>
    </row>
    <row r="18" spans="1:5" x14ac:dyDescent="0.25">
      <c r="A18" s="107">
        <f t="shared" si="0"/>
        <v>13</v>
      </c>
      <c r="B18" s="105">
        <v>2034</v>
      </c>
      <c r="C18" s="87">
        <f>C17+C17*'%_CO_CI_CP'!D18</f>
        <v>5332393.5689622266</v>
      </c>
      <c r="D18" s="87">
        <f>D17+D17*'%_CO_CI_CP'!D18</f>
        <v>5279304.0091205593</v>
      </c>
      <c r="E18" s="87">
        <f t="shared" si="1"/>
        <v>10611697.578082785</v>
      </c>
    </row>
    <row r="19" spans="1:5" x14ac:dyDescent="0.25">
      <c r="A19" s="106">
        <f t="shared" si="0"/>
        <v>14</v>
      </c>
      <c r="B19" s="104">
        <v>2035</v>
      </c>
      <c r="C19" s="86">
        <f>C18+C18*'%_CO_CI_CP'!D19</f>
        <v>5460371.0146173202</v>
      </c>
      <c r="D19" s="86">
        <f>D18+D18*'%_CO_CI_CP'!D19</f>
        <v>5406007.3053394528</v>
      </c>
      <c r="E19" s="86">
        <f t="shared" si="1"/>
        <v>10866378.319956772</v>
      </c>
    </row>
    <row r="20" spans="1:5" x14ac:dyDescent="0.25">
      <c r="A20" s="107">
        <f t="shared" si="0"/>
        <v>15</v>
      </c>
      <c r="B20" s="105">
        <v>2036</v>
      </c>
      <c r="C20" s="87">
        <f>C19+C19*'%_CO_CI_CP'!D20</f>
        <v>5591419.9189681355</v>
      </c>
      <c r="D20" s="87">
        <f>D19+D19*'%_CO_CI_CP'!D20</f>
        <v>5535751.4806675995</v>
      </c>
      <c r="E20" s="87">
        <f t="shared" si="1"/>
        <v>11127171.399635736</v>
      </c>
    </row>
    <row r="21" spans="1:5" x14ac:dyDescent="0.25">
      <c r="A21" s="106">
        <f t="shared" si="0"/>
        <v>16</v>
      </c>
      <c r="B21" s="104">
        <v>2037</v>
      </c>
      <c r="C21" s="86">
        <f>C20+C20*'%_CO_CI_CP'!D21</f>
        <v>5606289.0763899507</v>
      </c>
      <c r="D21" s="86">
        <f>D20+D20*'%_CO_CI_CP'!D21</f>
        <v>5550472.6000624886</v>
      </c>
      <c r="E21" s="86">
        <f t="shared" si="1"/>
        <v>11156761.676452439</v>
      </c>
    </row>
    <row r="22" spans="1:5" x14ac:dyDescent="0.25">
      <c r="A22" s="107">
        <f t="shared" si="0"/>
        <v>17</v>
      </c>
      <c r="B22" s="105">
        <v>2038</v>
      </c>
      <c r="C22" s="87">
        <f>C21+C21*'%_CO_CI_CP'!D22</f>
        <v>5619639.742122177</v>
      </c>
      <c r="D22" s="87">
        <f>D21+D21*'%_CO_CI_CP'!D22</f>
        <v>5563690.3459420921</v>
      </c>
      <c r="E22" s="87">
        <f t="shared" si="1"/>
        <v>11183330.088064268</v>
      </c>
    </row>
    <row r="23" spans="1:5" x14ac:dyDescent="0.25">
      <c r="A23" s="106">
        <f t="shared" si="0"/>
        <v>18</v>
      </c>
      <c r="B23" s="104">
        <v>2039</v>
      </c>
      <c r="C23" s="86">
        <f>C22+C22*'%_CO_CI_CP'!D23</f>
        <v>5631481.4278716231</v>
      </c>
      <c r="D23" s="86">
        <f>D22+D22*'%_CO_CI_CP'!D23</f>
        <v>5575414.1353142187</v>
      </c>
      <c r="E23" s="86">
        <f t="shared" si="1"/>
        <v>11206895.563185841</v>
      </c>
    </row>
    <row r="24" spans="1:5" x14ac:dyDescent="0.25">
      <c r="A24" s="107">
        <f t="shared" si="0"/>
        <v>19</v>
      </c>
      <c r="B24" s="105">
        <v>2040</v>
      </c>
      <c r="C24" s="87">
        <f>C23+C23*'%_CO_CI_CP'!D24</f>
        <v>5641826.8564583911</v>
      </c>
      <c r="D24" s="87">
        <f>D23+D23*'%_CO_CI_CP'!D24</f>
        <v>5585656.564329979</v>
      </c>
      <c r="E24" s="87">
        <f t="shared" si="1"/>
        <v>11227483.42078837</v>
      </c>
    </row>
    <row r="25" spans="1:5" x14ac:dyDescent="0.25">
      <c r="A25" s="106">
        <f t="shared" si="0"/>
        <v>20</v>
      </c>
      <c r="B25" s="104">
        <v>2041</v>
      </c>
      <c r="C25" s="86">
        <f>C24+C24*'%_CO_CI_CP'!D25</f>
        <v>5650689.3102147495</v>
      </c>
      <c r="D25" s="86">
        <f>D24+D24*'%_CO_CI_CP'!D25</f>
        <v>5594430.7830821211</v>
      </c>
      <c r="E25" s="86">
        <f t="shared" si="1"/>
        <v>11245120.093296871</v>
      </c>
    </row>
    <row r="26" spans="1:5" x14ac:dyDescent="0.25">
      <c r="A26" s="107">
        <f t="shared" si="0"/>
        <v>21</v>
      </c>
      <c r="B26" s="105">
        <v>2042</v>
      </c>
      <c r="C26" s="87">
        <f>C25+C25*'%_CO_CI_CP'!D26</f>
        <v>5658093.0427767262</v>
      </c>
      <c r="D26" s="87">
        <f>D25+D25*'%_CO_CI_CP'!D26</f>
        <v>5601760.8037363365</v>
      </c>
      <c r="E26" s="87">
        <f t="shared" si="1"/>
        <v>11259853.846513063</v>
      </c>
    </row>
    <row r="27" spans="1:5" x14ac:dyDescent="0.25">
      <c r="A27" s="106">
        <f t="shared" si="0"/>
        <v>22</v>
      </c>
      <c r="B27" s="104">
        <v>2043</v>
      </c>
      <c r="C27" s="86">
        <f>C26+C26*'%_CO_CI_CP'!D27</f>
        <v>5664064.8620750168</v>
      </c>
      <c r="D27" s="86">
        <f>D26+D26*'%_CO_CI_CP'!D27</f>
        <v>5607673.1673223097</v>
      </c>
      <c r="E27" s="86">
        <f t="shared" si="1"/>
        <v>11271738.029397327</v>
      </c>
    </row>
    <row r="28" spans="1:5" x14ac:dyDescent="0.25">
      <c r="A28" s="107">
        <f t="shared" si="0"/>
        <v>23</v>
      </c>
      <c r="B28" s="105">
        <v>2044</v>
      </c>
      <c r="C28" s="87">
        <f>C27+C27*'%_CO_CI_CP'!D28</f>
        <v>5668612.2607073113</v>
      </c>
      <c r="D28" s="87">
        <f>D27+D27*'%_CO_CI_CP'!D28</f>
        <v>5612175.2918410767</v>
      </c>
      <c r="E28" s="87">
        <f t="shared" si="1"/>
        <v>11280787.552548388</v>
      </c>
    </row>
    <row r="29" spans="1:5" x14ac:dyDescent="0.25">
      <c r="A29" s="106">
        <f t="shared" si="0"/>
        <v>24</v>
      </c>
      <c r="B29" s="104">
        <v>2045</v>
      </c>
      <c r="C29" s="86">
        <f>C28+C28*'%_CO_CI_CP'!D29</f>
        <v>5671741.36898081</v>
      </c>
      <c r="D29" s="86">
        <f>D28+D28*'%_CO_CI_CP'!D29</f>
        <v>5615273.2465662137</v>
      </c>
      <c r="E29" s="86">
        <f t="shared" si="1"/>
        <v>11287014.615547024</v>
      </c>
    </row>
    <row r="30" spans="1:5" x14ac:dyDescent="0.25">
      <c r="A30" s="107">
        <f t="shared" si="0"/>
        <v>25</v>
      </c>
      <c r="B30" s="105">
        <v>2046</v>
      </c>
      <c r="C30" s="87">
        <f>C29+C29*'%_CO_CI_CP'!D30</f>
        <v>5673459.6065133549</v>
      </c>
      <c r="D30" s="87">
        <f>D29+D29*'%_CO_CI_CP'!D30</f>
        <v>5616974.3772454998</v>
      </c>
      <c r="E30" s="87">
        <f t="shared" si="1"/>
        <v>11290433.983758856</v>
      </c>
    </row>
    <row r="31" spans="1:5" x14ac:dyDescent="0.25">
      <c r="A31" s="106">
        <f t="shared" si="0"/>
        <v>26</v>
      </c>
      <c r="B31" s="104">
        <v>2047</v>
      </c>
      <c r="C31" s="86">
        <f>C30+C30*'%_CO_CI_CP'!D31</f>
        <v>5673785.8994120983</v>
      </c>
      <c r="D31" s="86">
        <f>D30+D30*'%_CO_CI_CP'!D31</f>
        <v>5617297.4215568779</v>
      </c>
      <c r="E31" s="86">
        <f t="shared" si="1"/>
        <v>11291083.320968976</v>
      </c>
    </row>
    <row r="32" spans="1:5" x14ac:dyDescent="0.25">
      <c r="A32" s="107">
        <f t="shared" si="0"/>
        <v>27</v>
      </c>
      <c r="B32" s="105">
        <v>2048</v>
      </c>
      <c r="C32" s="87">
        <f>C31+C31*'%_CO_CI_CP'!D32</f>
        <v>5672735.281525651</v>
      </c>
      <c r="D32" s="87">
        <f>D31+D31*'%_CO_CI_CP'!D32</f>
        <v>5616257.2636712594</v>
      </c>
      <c r="E32" s="87">
        <f t="shared" si="1"/>
        <v>11288992.545196909</v>
      </c>
    </row>
    <row r="33" spans="1:5" x14ac:dyDescent="0.25">
      <c r="A33" s="106">
        <f t="shared" si="0"/>
        <v>28</v>
      </c>
      <c r="B33" s="104">
        <v>2049</v>
      </c>
      <c r="C33" s="86">
        <f>C32+C32*'%_CO_CI_CP'!D33</f>
        <v>5670302.182058977</v>
      </c>
      <c r="D33" s="86">
        <f>D32+D32*'%_CO_CI_CP'!D33</f>
        <v>5613848.3882567054</v>
      </c>
      <c r="E33" s="86">
        <f t="shared" si="1"/>
        <v>11284150.570315681</v>
      </c>
    </row>
    <row r="34" spans="1:5" x14ac:dyDescent="0.25">
      <c r="A34" s="107">
        <f t="shared" si="0"/>
        <v>29</v>
      </c>
      <c r="B34" s="105">
        <v>2050</v>
      </c>
      <c r="C34" s="87">
        <f>C33+C33*'%_CO_CI_CP'!D34</f>
        <v>5666478.3299626792</v>
      </c>
      <c r="D34" s="87">
        <f>D33+D33*'%_CO_CI_CP'!D34</f>
        <v>5610062.6066107722</v>
      </c>
      <c r="E34" s="87">
        <f t="shared" si="1"/>
        <v>11276540.936573451</v>
      </c>
    </row>
    <row r="35" spans="1:5" x14ac:dyDescent="0.25">
      <c r="A35" s="106">
        <f t="shared" si="0"/>
        <v>30</v>
      </c>
      <c r="B35" s="104">
        <v>2051</v>
      </c>
      <c r="C35" s="86">
        <f>C34+C34*'%_CO_CI_CP'!D35</f>
        <v>5661269.8312173421</v>
      </c>
      <c r="D35" s="86">
        <f>D34+D34*'%_CO_CI_CP'!D35</f>
        <v>5604905.9639226161</v>
      </c>
      <c r="E35" s="86">
        <f t="shared" si="1"/>
        <v>11266175.795139957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03EAB-A0D1-4FD5-B0D3-5B513F24194E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542</v>
      </c>
    </row>
    <row r="2" spans="1:12" x14ac:dyDescent="0.25">
      <c r="B2" s="151"/>
    </row>
    <row r="4" spans="1:12" ht="25.5" x14ac:dyDescent="0.25">
      <c r="A4" s="108" t="s">
        <v>360</v>
      </c>
      <c r="B4" s="108" t="s">
        <v>30</v>
      </c>
      <c r="C4" s="108" t="s">
        <v>315</v>
      </c>
    </row>
    <row r="5" spans="1:12" x14ac:dyDescent="0.25">
      <c r="A5" s="106">
        <v>0</v>
      </c>
      <c r="B5" s="104">
        <v>2021</v>
      </c>
      <c r="C5" s="86">
        <f>2730000+2730000*'%_CO_CI_CP'!D5</f>
        <v>2866500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C5+C5*'%_CO_CI_CP'!D6</f>
        <v>3153150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C6+C6*'%_CO_CI_CP'!D7</f>
        <v>3626122.5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C7+C7*'%_CO_CI_CP'!D8</f>
        <v>4170040.875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C8+C8*'%_CO_CI_CP'!D9</f>
        <v>5004049.05</v>
      </c>
    </row>
    <row r="10" spans="1:12" x14ac:dyDescent="0.25">
      <c r="A10" s="107">
        <f t="shared" si="0"/>
        <v>5</v>
      </c>
      <c r="B10" s="105">
        <v>2026</v>
      </c>
      <c r="C10" s="87">
        <f>C9+C9*'%_CO_CI_CP'!D10</f>
        <v>6004858.8599999994</v>
      </c>
    </row>
    <row r="11" spans="1:12" x14ac:dyDescent="0.25">
      <c r="A11" s="106">
        <f t="shared" si="0"/>
        <v>6</v>
      </c>
      <c r="B11" s="104">
        <v>2027</v>
      </c>
      <c r="C11" s="86">
        <f>C10+C10*'%_CO_CI_CP'!D11</f>
        <v>6148975.4726399994</v>
      </c>
    </row>
    <row r="12" spans="1:12" x14ac:dyDescent="0.25">
      <c r="A12" s="107">
        <f t="shared" si="0"/>
        <v>7</v>
      </c>
      <c r="B12" s="105">
        <v>2028</v>
      </c>
      <c r="C12" s="87">
        <f>C11+C11*'%_CO_CI_CP'!D12</f>
        <v>6296550.8839833597</v>
      </c>
    </row>
    <row r="13" spans="1:12" x14ac:dyDescent="0.25">
      <c r="A13" s="106">
        <f t="shared" si="0"/>
        <v>8</v>
      </c>
      <c r="B13" s="104">
        <v>2029</v>
      </c>
      <c r="C13" s="86">
        <f>C12+C12*'%_CO_CI_CP'!D13</f>
        <v>6447668.1051989608</v>
      </c>
    </row>
    <row r="14" spans="1:12" x14ac:dyDescent="0.25">
      <c r="A14" s="107">
        <f t="shared" si="0"/>
        <v>9</v>
      </c>
      <c r="B14" s="105">
        <v>2030</v>
      </c>
      <c r="C14" s="87">
        <f>C13+C13*'%_CO_CI_CP'!D14</f>
        <v>6602412.1397237359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C14+C14*'%_CO_CI_CP'!D15</f>
        <v>6760870.0310771056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C15+C15*'%_CO_CI_CP'!D16</f>
        <v>6923130.9118229561</v>
      </c>
    </row>
    <row r="17" spans="1:3" x14ac:dyDescent="0.25">
      <c r="A17" s="106">
        <f t="shared" si="0"/>
        <v>12</v>
      </c>
      <c r="B17" s="104">
        <v>2033</v>
      </c>
      <c r="C17" s="86">
        <f>C16+C16*'%_CO_CI_CP'!D17</f>
        <v>7089286.0537067074</v>
      </c>
    </row>
    <row r="18" spans="1:3" x14ac:dyDescent="0.25">
      <c r="A18" s="107">
        <f t="shared" si="0"/>
        <v>13</v>
      </c>
      <c r="B18" s="105">
        <v>2034</v>
      </c>
      <c r="C18" s="87">
        <f>C17+C17*'%_CO_CI_CP'!D18</f>
        <v>7259428.9189956682</v>
      </c>
    </row>
    <row r="19" spans="1:3" x14ac:dyDescent="0.25">
      <c r="A19" s="106">
        <f t="shared" si="0"/>
        <v>14</v>
      </c>
      <c r="B19" s="104">
        <v>2035</v>
      </c>
      <c r="C19" s="86">
        <f>C18+C18*'%_CO_CI_CP'!D19</f>
        <v>7433655.2130515641</v>
      </c>
    </row>
    <row r="20" spans="1:3" x14ac:dyDescent="0.25">
      <c r="A20" s="107">
        <f t="shared" si="0"/>
        <v>15</v>
      </c>
      <c r="B20" s="105">
        <v>2036</v>
      </c>
      <c r="C20" s="87">
        <f>C19+C19*'%_CO_CI_CP'!D20</f>
        <v>7612062.9381648013</v>
      </c>
    </row>
    <row r="21" spans="1:3" x14ac:dyDescent="0.25">
      <c r="A21" s="106">
        <f t="shared" si="0"/>
        <v>16</v>
      </c>
      <c r="B21" s="104">
        <v>2037</v>
      </c>
      <c r="C21" s="86">
        <f>C20+C20*'%_CO_CI_CP'!D21</f>
        <v>7632305.5534168538</v>
      </c>
    </row>
    <row r="22" spans="1:3" x14ac:dyDescent="0.25">
      <c r="A22" s="107">
        <f t="shared" si="0"/>
        <v>17</v>
      </c>
      <c r="B22" s="105">
        <v>2038</v>
      </c>
      <c r="C22" s="87">
        <f>C21+C21*'%_CO_CI_CP'!D22</f>
        <v>7650480.9201918216</v>
      </c>
    </row>
    <row r="23" spans="1:3" x14ac:dyDescent="0.25">
      <c r="A23" s="106">
        <f t="shared" si="0"/>
        <v>18</v>
      </c>
      <c r="B23" s="104">
        <v>2039</v>
      </c>
      <c r="C23" s="86">
        <f>C22+C22*'%_CO_CI_CP'!D23</f>
        <v>7666601.9875638075</v>
      </c>
    </row>
    <row r="24" spans="1:3" x14ac:dyDescent="0.25">
      <c r="A24" s="107">
        <f t="shared" si="0"/>
        <v>19</v>
      </c>
      <c r="B24" s="105">
        <v>2040</v>
      </c>
      <c r="C24" s="87">
        <f>C23+C23*'%_CO_CI_CP'!D24</f>
        <v>7680686.0761613417</v>
      </c>
    </row>
    <row r="25" spans="1:3" x14ac:dyDescent="0.25">
      <c r="A25" s="106">
        <f t="shared" si="0"/>
        <v>20</v>
      </c>
      <c r="B25" s="104">
        <v>2041</v>
      </c>
      <c r="C25" s="86">
        <f>C24+C24*'%_CO_CI_CP'!D25</f>
        <v>7692751.268323197</v>
      </c>
    </row>
    <row r="26" spans="1:3" x14ac:dyDescent="0.25">
      <c r="A26" s="107">
        <f t="shared" si="0"/>
        <v>21</v>
      </c>
      <c r="B26" s="105">
        <v>2042</v>
      </c>
      <c r="C26" s="87">
        <f>C25+C25*'%_CO_CI_CP'!D26</f>
        <v>7702830.5825324412</v>
      </c>
    </row>
    <row r="27" spans="1:3" x14ac:dyDescent="0.25">
      <c r="A27" s="106">
        <f t="shared" si="0"/>
        <v>22</v>
      </c>
      <c r="B27" s="104">
        <v>2043</v>
      </c>
      <c r="C27" s="86">
        <f>C26+C26*'%_CO_CI_CP'!D27</f>
        <v>7710960.5146449851</v>
      </c>
    </row>
    <row r="28" spans="1:3" x14ac:dyDescent="0.25">
      <c r="A28" s="107">
        <f t="shared" si="0"/>
        <v>23</v>
      </c>
      <c r="B28" s="105">
        <v>2044</v>
      </c>
      <c r="C28" s="87">
        <f>C27+C27*'%_CO_CI_CP'!D28</f>
        <v>7717151.2649544943</v>
      </c>
    </row>
    <row r="29" spans="1:3" x14ac:dyDescent="0.25">
      <c r="A29" s="106">
        <f t="shared" si="0"/>
        <v>24</v>
      </c>
      <c r="B29" s="104">
        <v>2045</v>
      </c>
      <c r="C29" s="86">
        <f>C28+C28*'%_CO_CI_CP'!D29</f>
        <v>7721411.1791557875</v>
      </c>
    </row>
    <row r="30" spans="1:3" x14ac:dyDescent="0.25">
      <c r="A30" s="107">
        <f t="shared" si="0"/>
        <v>25</v>
      </c>
      <c r="B30" s="105">
        <v>2046</v>
      </c>
      <c r="C30" s="87">
        <f>C29+C29*'%_CO_CI_CP'!D30</f>
        <v>7723750.3581890203</v>
      </c>
    </row>
    <row r="31" spans="1:3" x14ac:dyDescent="0.25">
      <c r="A31" s="106">
        <f t="shared" si="0"/>
        <v>26</v>
      </c>
      <c r="B31" s="104">
        <v>2047</v>
      </c>
      <c r="C31" s="86">
        <f>C30+C30*'%_CO_CI_CP'!D31</f>
        <v>7724194.5677310517</v>
      </c>
    </row>
    <row r="32" spans="1:3" x14ac:dyDescent="0.25">
      <c r="A32" s="107">
        <f t="shared" si="0"/>
        <v>27</v>
      </c>
      <c r="B32" s="105">
        <v>2048</v>
      </c>
      <c r="C32" s="87">
        <f>C31+C31*'%_CO_CI_CP'!D32</f>
        <v>7722764.2746048868</v>
      </c>
    </row>
    <row r="33" spans="1:3" x14ac:dyDescent="0.25">
      <c r="A33" s="106">
        <f t="shared" si="0"/>
        <v>28</v>
      </c>
      <c r="B33" s="104">
        <v>2049</v>
      </c>
      <c r="C33" s="86">
        <f>C32+C32*'%_CO_CI_CP'!D33</f>
        <v>7719451.8948259493</v>
      </c>
    </row>
    <row r="34" spans="1:3" x14ac:dyDescent="0.25">
      <c r="A34" s="107">
        <f t="shared" si="0"/>
        <v>29</v>
      </c>
      <c r="B34" s="105">
        <v>2050</v>
      </c>
      <c r="C34" s="87">
        <f>C33+C33*'%_CO_CI_CP'!D34</f>
        <v>7714246.1683298023</v>
      </c>
    </row>
    <row r="35" spans="1:3" x14ac:dyDescent="0.25">
      <c r="A35" s="106">
        <f t="shared" si="0"/>
        <v>30</v>
      </c>
      <c r="B35" s="104">
        <v>2051</v>
      </c>
      <c r="C35" s="86">
        <f>C34+C34*'%_CO_CI_CP'!D35</f>
        <v>7707155.407693428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883BE-5F80-4D75-9A77-D8408F08C9CA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548</v>
      </c>
    </row>
    <row r="2" spans="1:12" x14ac:dyDescent="0.25">
      <c r="B2" s="151"/>
    </row>
    <row r="4" spans="1:12" ht="25.5" x14ac:dyDescent="0.25">
      <c r="A4" s="108" t="s">
        <v>360</v>
      </c>
      <c r="B4" s="108" t="s">
        <v>30</v>
      </c>
      <c r="C4" s="108" t="s">
        <v>316</v>
      </c>
      <c r="D4" s="108" t="s">
        <v>19</v>
      </c>
      <c r="E4" s="108" t="s">
        <v>293</v>
      </c>
    </row>
    <row r="5" spans="1:12" x14ac:dyDescent="0.25">
      <c r="A5" s="106">
        <v>0</v>
      </c>
      <c r="B5" s="104">
        <v>2021</v>
      </c>
      <c r="C5" s="86">
        <f>'Tabela 17'!C18+'Tabela 17'!C18*'%_CO_CI_CP'!D5</f>
        <v>390231.45</v>
      </c>
      <c r="D5" s="86">
        <f>'Tabela 17'!D18+'Tabela 17'!D18*'%_CO_CI_CP'!D5</f>
        <v>10812.9</v>
      </c>
      <c r="E5" s="86">
        <f>C5+D5</f>
        <v>401044.35000000003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C5+C5*'%_CO_CI_CP'!D6</f>
        <v>429254.59500000003</v>
      </c>
      <c r="D6" s="87">
        <f>D5+D5*'%_CO_CI_CP'!D6</f>
        <v>11894.189999999999</v>
      </c>
      <c r="E6" s="87">
        <f>C6+D6</f>
        <v>441148.78500000003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C6+C6*'%_CO_CI_CP'!D7</f>
        <v>493642.78425000003</v>
      </c>
      <c r="D7" s="86">
        <f>D6+D6*'%_CO_CI_CP'!D7</f>
        <v>13678.318499999998</v>
      </c>
      <c r="E7" s="111">
        <f t="shared" ref="E7:E35" si="1">C7+D7</f>
        <v>507321.10275000002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C7+C7*'%_CO_CI_CP'!D8</f>
        <v>567689.20188750001</v>
      </c>
      <c r="D8" s="87">
        <f>D7+D7*'%_CO_CI_CP'!D8</f>
        <v>15730.066274999997</v>
      </c>
      <c r="E8" s="87">
        <f t="shared" si="1"/>
        <v>583419.2681625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C8+C8*'%_CO_CI_CP'!D9</f>
        <v>681227.04226500005</v>
      </c>
      <c r="D9" s="86">
        <f>D8+D8*'%_CO_CI_CP'!D9</f>
        <v>18876.079529999995</v>
      </c>
      <c r="E9" s="86">
        <f t="shared" si="1"/>
        <v>700103.12179500004</v>
      </c>
    </row>
    <row r="10" spans="1:12" x14ac:dyDescent="0.25">
      <c r="A10" s="107">
        <f t="shared" si="0"/>
        <v>5</v>
      </c>
      <c r="B10" s="105">
        <v>2026</v>
      </c>
      <c r="C10" s="87">
        <f>C9+C9*'%_CO_CI_CP'!D10</f>
        <v>817472.45071800007</v>
      </c>
      <c r="D10" s="87">
        <f>D9+D9*'%_CO_CI_CP'!D10</f>
        <v>22651.295435999993</v>
      </c>
      <c r="E10" s="87">
        <f t="shared" si="1"/>
        <v>840123.74615400005</v>
      </c>
    </row>
    <row r="11" spans="1:12" x14ac:dyDescent="0.25">
      <c r="A11" s="106">
        <f t="shared" si="0"/>
        <v>6</v>
      </c>
      <c r="B11" s="104">
        <v>2027</v>
      </c>
      <c r="C11" s="86">
        <f>C10+C10*'%_CO_CI_CP'!D11</f>
        <v>837091.78953523212</v>
      </c>
      <c r="D11" s="86">
        <f>D10+D10*'%_CO_CI_CP'!D11</f>
        <v>23194.926526463994</v>
      </c>
      <c r="E11" s="86">
        <f t="shared" si="1"/>
        <v>860286.71606169606</v>
      </c>
    </row>
    <row r="12" spans="1:12" x14ac:dyDescent="0.25">
      <c r="A12" s="107">
        <f t="shared" si="0"/>
        <v>7</v>
      </c>
      <c r="B12" s="105">
        <v>2028</v>
      </c>
      <c r="C12" s="87">
        <f>C11+C11*'%_CO_CI_CP'!D12</f>
        <v>857181.99248407769</v>
      </c>
      <c r="D12" s="87">
        <f>D11+D11*'%_CO_CI_CP'!D12</f>
        <v>23751.604763099131</v>
      </c>
      <c r="E12" s="87">
        <f t="shared" si="1"/>
        <v>880933.5972471768</v>
      </c>
    </row>
    <row r="13" spans="1:12" x14ac:dyDescent="0.25">
      <c r="A13" s="106">
        <f t="shared" si="0"/>
        <v>8</v>
      </c>
      <c r="B13" s="104">
        <v>2029</v>
      </c>
      <c r="C13" s="86">
        <f>C12+C12*'%_CO_CI_CP'!D13</f>
        <v>877754.36030369555</v>
      </c>
      <c r="D13" s="86">
        <f>D12+D12*'%_CO_CI_CP'!D13</f>
        <v>24321.64327741351</v>
      </c>
      <c r="E13" s="86">
        <f t="shared" si="1"/>
        <v>902076.00358110911</v>
      </c>
    </row>
    <row r="14" spans="1:12" x14ac:dyDescent="0.25">
      <c r="A14" s="107">
        <f t="shared" si="0"/>
        <v>9</v>
      </c>
      <c r="B14" s="105">
        <v>2030</v>
      </c>
      <c r="C14" s="87">
        <f>C13+C13*'%_CO_CI_CP'!D14</f>
        <v>898820.46495098423</v>
      </c>
      <c r="D14" s="87">
        <f>D13+D13*'%_CO_CI_CP'!D14</f>
        <v>24905.362716071435</v>
      </c>
      <c r="E14" s="87">
        <f t="shared" si="1"/>
        <v>923725.82766705565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C14+C14*'%_CO_CI_CP'!D15</f>
        <v>920392.1561098079</v>
      </c>
      <c r="D15" s="86">
        <f>D14+D14*'%_CO_CI_CP'!D15</f>
        <v>25503.091421257148</v>
      </c>
      <c r="E15" s="86">
        <f t="shared" si="1"/>
        <v>945895.24753106502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C15+C15*'%_CO_CI_CP'!D16</f>
        <v>942481.56785644323</v>
      </c>
      <c r="D16" s="87">
        <f>D15+D15*'%_CO_CI_CP'!D16</f>
        <v>26115.165615367321</v>
      </c>
      <c r="E16" s="87">
        <f t="shared" si="1"/>
        <v>968596.73347181058</v>
      </c>
    </row>
    <row r="17" spans="1:5" x14ac:dyDescent="0.25">
      <c r="A17" s="106">
        <f t="shared" si="0"/>
        <v>12</v>
      </c>
      <c r="B17" s="104">
        <v>2033</v>
      </c>
      <c r="C17" s="86">
        <f>C16+C16*'%_CO_CI_CP'!D17</f>
        <v>965101.12548499787</v>
      </c>
      <c r="D17" s="86">
        <f>D16+D16*'%_CO_CI_CP'!D17</f>
        <v>26741.929590136137</v>
      </c>
      <c r="E17" s="86">
        <f t="shared" si="1"/>
        <v>991843.05507513403</v>
      </c>
    </row>
    <row r="18" spans="1:5" x14ac:dyDescent="0.25">
      <c r="A18" s="107">
        <f t="shared" si="0"/>
        <v>13</v>
      </c>
      <c r="B18" s="105">
        <v>2034</v>
      </c>
      <c r="C18" s="87">
        <f>C17+C17*'%_CO_CI_CP'!D18</f>
        <v>988263.5524966378</v>
      </c>
      <c r="D18" s="87">
        <f>D17+D17*'%_CO_CI_CP'!D18</f>
        <v>27383.735900299405</v>
      </c>
      <c r="E18" s="87">
        <f t="shared" si="1"/>
        <v>1015647.2883969372</v>
      </c>
    </row>
    <row r="19" spans="1:5" x14ac:dyDescent="0.25">
      <c r="A19" s="106">
        <f t="shared" si="0"/>
        <v>14</v>
      </c>
      <c r="B19" s="104">
        <v>2035</v>
      </c>
      <c r="C19" s="86">
        <f>C18+C18*'%_CO_CI_CP'!D19</f>
        <v>1011981.8777565571</v>
      </c>
      <c r="D19" s="86">
        <f>D18+D18*'%_CO_CI_CP'!D19</f>
        <v>28040.945561906592</v>
      </c>
      <c r="E19" s="86">
        <f t="shared" si="1"/>
        <v>1040022.8233184636</v>
      </c>
    </row>
    <row r="20" spans="1:5" x14ac:dyDescent="0.25">
      <c r="A20" s="107">
        <f t="shared" si="0"/>
        <v>15</v>
      </c>
      <c r="B20" s="105">
        <v>2036</v>
      </c>
      <c r="C20" s="87">
        <f>C19+C19*'%_CO_CI_CP'!D20</f>
        <v>1036269.4428227145</v>
      </c>
      <c r="D20" s="87">
        <f>D19+D19*'%_CO_CI_CP'!D20</f>
        <v>28713.928255392351</v>
      </c>
      <c r="E20" s="87">
        <f t="shared" si="1"/>
        <v>1064983.3710781068</v>
      </c>
    </row>
    <row r="21" spans="1:5" x14ac:dyDescent="0.25">
      <c r="A21" s="106">
        <f t="shared" si="0"/>
        <v>16</v>
      </c>
      <c r="B21" s="104">
        <v>2037</v>
      </c>
      <c r="C21" s="86">
        <f>C20+C20*'%_CO_CI_CP'!D21</f>
        <v>1039025.1745867475</v>
      </c>
      <c r="D21" s="86">
        <f>D20+D20*'%_CO_CI_CP'!D21</f>
        <v>28790.286662669143</v>
      </c>
      <c r="E21" s="86">
        <f t="shared" si="1"/>
        <v>1067815.4612494167</v>
      </c>
    </row>
    <row r="22" spans="1:5" x14ac:dyDescent="0.25">
      <c r="A22" s="107">
        <f t="shared" si="0"/>
        <v>17</v>
      </c>
      <c r="B22" s="105">
        <v>2038</v>
      </c>
      <c r="C22" s="87">
        <f>C21+C21*'%_CO_CI_CP'!D22</f>
        <v>1041499.4811385975</v>
      </c>
      <c r="D22" s="87">
        <f>D21+D21*'%_CO_CI_CP'!D22</f>
        <v>28858.847075507467</v>
      </c>
      <c r="E22" s="87">
        <f t="shared" si="1"/>
        <v>1070358.328214105</v>
      </c>
    </row>
    <row r="23" spans="1:5" x14ac:dyDescent="0.25">
      <c r="A23" s="106">
        <f t="shared" si="0"/>
        <v>18</v>
      </c>
      <c r="B23" s="104">
        <v>2039</v>
      </c>
      <c r="C23" s="86">
        <f>C22+C22*'%_CO_CI_CP'!D23</f>
        <v>1043694.1253026016</v>
      </c>
      <c r="D23" s="86">
        <f>D22+D22*'%_CO_CI_CP'!D23</f>
        <v>28919.658339901867</v>
      </c>
      <c r="E23" s="86">
        <f t="shared" si="1"/>
        <v>1072613.7836425034</v>
      </c>
    </row>
    <row r="24" spans="1:5" x14ac:dyDescent="0.25">
      <c r="A24" s="107">
        <f t="shared" si="0"/>
        <v>19</v>
      </c>
      <c r="B24" s="105">
        <v>2040</v>
      </c>
      <c r="C24" s="87">
        <f>C23+C23*'%_CO_CI_CP'!D24</f>
        <v>1045611.46502538</v>
      </c>
      <c r="D24" s="87">
        <f>D23+D23*'%_CO_CI_CP'!D24</f>
        <v>28972.785792054765</v>
      </c>
      <c r="E24" s="87">
        <f t="shared" si="1"/>
        <v>1074584.2508174349</v>
      </c>
    </row>
    <row r="25" spans="1:5" x14ac:dyDescent="0.25">
      <c r="A25" s="106">
        <f t="shared" si="0"/>
        <v>20</v>
      </c>
      <c r="B25" s="104">
        <v>2041</v>
      </c>
      <c r="C25" s="86">
        <f>C24+C24*'%_CO_CI_CP'!D25</f>
        <v>1047253.9619491021</v>
      </c>
      <c r="D25" s="86">
        <f>D24+D24*'%_CO_CI_CP'!D25</f>
        <v>29018.297641462377</v>
      </c>
      <c r="E25" s="86">
        <f t="shared" si="1"/>
        <v>1076272.2595905645</v>
      </c>
    </row>
    <row r="26" spans="1:5" x14ac:dyDescent="0.25">
      <c r="A26" s="107">
        <f t="shared" si="0"/>
        <v>21</v>
      </c>
      <c r="B26" s="105">
        <v>2042</v>
      </c>
      <c r="C26" s="87">
        <f>C25+C25*'%_CO_CI_CP'!D26</f>
        <v>1048626.111050403</v>
      </c>
      <c r="D26" s="87">
        <f>D25+D25*'%_CO_CI_CP'!D26</f>
        <v>29056.318439164501</v>
      </c>
      <c r="E26" s="87">
        <f t="shared" si="1"/>
        <v>1077682.4294895674</v>
      </c>
    </row>
    <row r="27" spans="1:5" x14ac:dyDescent="0.25">
      <c r="A27" s="106">
        <f t="shared" si="0"/>
        <v>22</v>
      </c>
      <c r="B27" s="104">
        <v>2043</v>
      </c>
      <c r="C27" s="86">
        <f>C26+C26*'%_CO_CI_CP'!D27</f>
        <v>1049732.8806986429</v>
      </c>
      <c r="D27" s="86">
        <f>D26+D26*'%_CO_CI_CP'!D27</f>
        <v>29086.985853411745</v>
      </c>
      <c r="E27" s="86">
        <f t="shared" si="1"/>
        <v>1078819.8665520546</v>
      </c>
    </row>
    <row r="28" spans="1:5" x14ac:dyDescent="0.25">
      <c r="A28" s="107">
        <f t="shared" si="0"/>
        <v>23</v>
      </c>
      <c r="B28" s="105">
        <v>2044</v>
      </c>
      <c r="C28" s="87">
        <f>C27+C27*'%_CO_CI_CP'!D28</f>
        <v>1050575.6595124814</v>
      </c>
      <c r="D28" s="87">
        <f>D27+D27*'%_CO_CI_CP'!D28</f>
        <v>29110.338361355822</v>
      </c>
      <c r="E28" s="87">
        <f t="shared" si="1"/>
        <v>1079685.9978738371</v>
      </c>
    </row>
    <row r="29" spans="1:5" x14ac:dyDescent="0.25">
      <c r="A29" s="106">
        <f t="shared" si="0"/>
        <v>24</v>
      </c>
      <c r="B29" s="104">
        <v>2045</v>
      </c>
      <c r="C29" s="86">
        <f>C28+C28*'%_CO_CI_CP'!D29</f>
        <v>1051155.583634458</v>
      </c>
      <c r="D29" s="86">
        <f>D28+D28*'%_CO_CI_CP'!D29</f>
        <v>29126.407444302677</v>
      </c>
      <c r="E29" s="86">
        <f t="shared" si="1"/>
        <v>1080281.9910787607</v>
      </c>
    </row>
    <row r="30" spans="1:5" x14ac:dyDescent="0.25">
      <c r="A30" s="107">
        <f t="shared" si="0"/>
        <v>25</v>
      </c>
      <c r="B30" s="105">
        <v>2046</v>
      </c>
      <c r="C30" s="87">
        <f>C29+C29*'%_CO_CI_CP'!D30</f>
        <v>1051474.0281577262</v>
      </c>
      <c r="D30" s="87">
        <f>D29+D29*'%_CO_CI_CP'!D30</f>
        <v>29135.231204626572</v>
      </c>
      <c r="E30" s="87">
        <f t="shared" si="1"/>
        <v>1080609.2593623528</v>
      </c>
    </row>
    <row r="31" spans="1:5" x14ac:dyDescent="0.25">
      <c r="A31" s="106">
        <f t="shared" si="0"/>
        <v>26</v>
      </c>
      <c r="B31" s="104">
        <v>2047</v>
      </c>
      <c r="C31" s="86">
        <f>C30+C30*'%_CO_CI_CP'!D31</f>
        <v>1051534.500696952</v>
      </c>
      <c r="D31" s="86">
        <f>D30+D30*'%_CO_CI_CP'!D31</f>
        <v>29136.906834613328</v>
      </c>
      <c r="E31" s="86">
        <f t="shared" si="1"/>
        <v>1080671.4075315653</v>
      </c>
    </row>
    <row r="32" spans="1:5" x14ac:dyDescent="0.25">
      <c r="A32" s="107">
        <f t="shared" si="0"/>
        <v>27</v>
      </c>
      <c r="B32" s="105">
        <v>2048</v>
      </c>
      <c r="C32" s="87">
        <f>C31+C31*'%_CO_CI_CP'!D32</f>
        <v>1051339.787506459</v>
      </c>
      <c r="D32" s="87">
        <f>D31+D31*'%_CO_CI_CP'!D32</f>
        <v>29131.511538417999</v>
      </c>
      <c r="E32" s="87">
        <f t="shared" si="1"/>
        <v>1080471.2990448771</v>
      </c>
    </row>
    <row r="33" spans="1:5" x14ac:dyDescent="0.25">
      <c r="A33" s="106">
        <f t="shared" si="0"/>
        <v>28</v>
      </c>
      <c r="B33" s="104">
        <v>2049</v>
      </c>
      <c r="C33" s="86">
        <f>C32+C32*'%_CO_CI_CP'!D33</f>
        <v>1050888.8561392569</v>
      </c>
      <c r="D33" s="86">
        <f>D32+D32*'%_CO_CI_CP'!D33</f>
        <v>29119.016708028441</v>
      </c>
      <c r="E33" s="86">
        <f t="shared" si="1"/>
        <v>1080007.8728472854</v>
      </c>
    </row>
    <row r="34" spans="1:5" x14ac:dyDescent="0.25">
      <c r="A34" s="107">
        <f t="shared" si="0"/>
        <v>29</v>
      </c>
      <c r="B34" s="105">
        <v>2050</v>
      </c>
      <c r="C34" s="87">
        <f>C33+C33*'%_CO_CI_CP'!D34</f>
        <v>1050180.1737046172</v>
      </c>
      <c r="D34" s="87">
        <f>D33+D33*'%_CO_CI_CP'!D34</f>
        <v>29099.379868666787</v>
      </c>
      <c r="E34" s="87">
        <f t="shared" si="1"/>
        <v>1079279.5535732841</v>
      </c>
    </row>
    <row r="35" spans="1:5" x14ac:dyDescent="0.25">
      <c r="A35" s="106">
        <f t="shared" si="0"/>
        <v>30</v>
      </c>
      <c r="B35" s="104">
        <v>2051</v>
      </c>
      <c r="C35" s="86">
        <f>C34+C34*'%_CO_CI_CP'!D35</f>
        <v>1049214.8718365775</v>
      </c>
      <c r="D35" s="86">
        <f>D34+D34*'%_CO_CI_CP'!D35</f>
        <v>29072.632376713165</v>
      </c>
      <c r="E35" s="86">
        <f t="shared" si="1"/>
        <v>1078287.5042132908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1792A-F465-486E-BDA8-823AEAD26531}">
  <dimension ref="A1:M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4.42578125" customWidth="1"/>
    <col min="6" max="6" width="15" customWidth="1"/>
    <col min="9" max="9" width="12.42578125" customWidth="1"/>
    <col min="10" max="10" width="11.7109375" customWidth="1"/>
  </cols>
  <sheetData>
    <row r="1" spans="1:13" x14ac:dyDescent="0.25">
      <c r="A1" s="78" t="s">
        <v>292</v>
      </c>
      <c r="B1" s="174"/>
      <c r="C1" s="78" t="s">
        <v>546</v>
      </c>
    </row>
    <row r="2" spans="1:13" x14ac:dyDescent="0.25">
      <c r="A2" s="78"/>
      <c r="B2" s="174"/>
    </row>
    <row r="4" spans="1:13" ht="25.5" x14ac:dyDescent="0.25">
      <c r="A4" s="108" t="s">
        <v>360</v>
      </c>
      <c r="B4" s="108" t="s">
        <v>30</v>
      </c>
      <c r="C4" s="108" t="s">
        <v>23</v>
      </c>
      <c r="D4" s="108" t="s">
        <v>24</v>
      </c>
      <c r="E4" s="108" t="s">
        <v>314</v>
      </c>
      <c r="F4" s="108" t="s">
        <v>293</v>
      </c>
    </row>
    <row r="5" spans="1:13" x14ac:dyDescent="0.25">
      <c r="A5" s="106">
        <v>0</v>
      </c>
      <c r="B5" s="104">
        <v>2021</v>
      </c>
      <c r="C5" s="86">
        <f>'Tabela 17'!F18+'Tabela 17'!F18*'%_CO_CI_CP'!D5</f>
        <v>106425.9</v>
      </c>
      <c r="D5" s="86">
        <f>'Tabela 17'!G18+'Tabela 17'!G18*'%_CO_CI_CP'!D5</f>
        <v>39081</v>
      </c>
      <c r="E5" s="86">
        <f>'Tabela 17'!H18+'Tabela 17'!H18*'%_CO_CI_CP'!D5</f>
        <v>452329.5</v>
      </c>
      <c r="F5" s="86">
        <f>C5+D5+E5</f>
        <v>597836.4</v>
      </c>
      <c r="G5" s="5"/>
    </row>
    <row r="6" spans="1:13" x14ac:dyDescent="0.25">
      <c r="A6" s="107">
        <f>A5+1</f>
        <v>1</v>
      </c>
      <c r="B6" s="105">
        <v>2022</v>
      </c>
      <c r="C6" s="87">
        <f>C5+C5*'%_CO_CI_CP'!D6</f>
        <v>117068.48999999999</v>
      </c>
      <c r="D6" s="87">
        <f>D5+D5*'%_CO_CI_CP'!D6</f>
        <v>42989.1</v>
      </c>
      <c r="E6" s="87">
        <f>E5+E5*'%_CO_CI_CP'!D6</f>
        <v>497562.45</v>
      </c>
      <c r="F6" s="87">
        <f t="shared" ref="F6:F35" si="0">C6+D6+E6</f>
        <v>657620.04</v>
      </c>
      <c r="G6" s="5"/>
      <c r="K6" s="5"/>
      <c r="L6" s="5"/>
      <c r="M6" s="5"/>
    </row>
    <row r="7" spans="1:13" x14ac:dyDescent="0.25">
      <c r="A7" s="106">
        <f t="shared" ref="A7:A35" si="1">A6+1</f>
        <v>2</v>
      </c>
      <c r="B7" s="104">
        <v>2023</v>
      </c>
      <c r="C7" s="86">
        <f>C6+C6*'%_CO_CI_CP'!D7</f>
        <v>134628.7635</v>
      </c>
      <c r="D7" s="86">
        <f>D6+D6*'%_CO_CI_CP'!D7</f>
        <v>49437.464999999997</v>
      </c>
      <c r="E7" s="86">
        <f>E6+E6*'%_CO_CI_CP'!D7</f>
        <v>572196.8175</v>
      </c>
      <c r="F7" s="111">
        <f t="shared" si="0"/>
        <v>756263.04599999997</v>
      </c>
      <c r="H7" s="5"/>
      <c r="I7" s="5"/>
      <c r="J7" s="5"/>
      <c r="K7" s="5"/>
      <c r="L7" s="5"/>
      <c r="M7" s="5"/>
    </row>
    <row r="8" spans="1:13" x14ac:dyDescent="0.25">
      <c r="A8" s="107">
        <f t="shared" si="1"/>
        <v>3</v>
      </c>
      <c r="B8" s="105">
        <v>2024</v>
      </c>
      <c r="C8" s="87">
        <f>C7+C7*'%_CO_CI_CP'!D8</f>
        <v>154823.078025</v>
      </c>
      <c r="D8" s="87">
        <f>D7+D7*'%_CO_CI_CP'!D8</f>
        <v>56853.084749999995</v>
      </c>
      <c r="E8" s="87">
        <f>E7+E7*'%_CO_CI_CP'!D8</f>
        <v>658026.34012499999</v>
      </c>
      <c r="F8" s="87">
        <f t="shared" si="0"/>
        <v>869702.50289999996</v>
      </c>
      <c r="H8" s="5"/>
      <c r="I8" s="5"/>
      <c r="J8" s="5"/>
      <c r="K8" s="5"/>
      <c r="L8" s="5"/>
      <c r="M8" s="5"/>
    </row>
    <row r="9" spans="1:13" x14ac:dyDescent="0.25">
      <c r="A9" s="106">
        <f t="shared" si="1"/>
        <v>4</v>
      </c>
      <c r="B9" s="104">
        <v>2025</v>
      </c>
      <c r="C9" s="86">
        <f>C8+C8*'%_CO_CI_CP'!D9</f>
        <v>185787.69362999999</v>
      </c>
      <c r="D9" s="86">
        <f>D8+D8*'%_CO_CI_CP'!D9</f>
        <v>68223.701699999991</v>
      </c>
      <c r="E9" s="86">
        <f>E8+E8*'%_CO_CI_CP'!D9</f>
        <v>789631.60814999999</v>
      </c>
      <c r="F9" s="86">
        <f t="shared" si="0"/>
        <v>1043643.00348</v>
      </c>
    </row>
    <row r="10" spans="1:13" x14ac:dyDescent="0.25">
      <c r="A10" s="107">
        <f t="shared" si="1"/>
        <v>5</v>
      </c>
      <c r="B10" s="105">
        <v>2026</v>
      </c>
      <c r="C10" s="87">
        <f>C9+C9*'%_CO_CI_CP'!D10</f>
        <v>222945.23235599999</v>
      </c>
      <c r="D10" s="87">
        <f>D9+D9*'%_CO_CI_CP'!D10</f>
        <v>81868.442039999994</v>
      </c>
      <c r="E10" s="87">
        <f>E9+E9*'%_CO_CI_CP'!D10</f>
        <v>947557.92978000001</v>
      </c>
      <c r="F10" s="87">
        <f t="shared" si="0"/>
        <v>1252371.604176</v>
      </c>
    </row>
    <row r="11" spans="1:13" x14ac:dyDescent="0.25">
      <c r="A11" s="106">
        <f t="shared" si="1"/>
        <v>6</v>
      </c>
      <c r="B11" s="104">
        <v>2027</v>
      </c>
      <c r="C11" s="86">
        <f>C10+C10*'%_CO_CI_CP'!D11</f>
        <v>228295.91793254399</v>
      </c>
      <c r="D11" s="86">
        <f>D10+D10*'%_CO_CI_CP'!D11</f>
        <v>83833.284648959991</v>
      </c>
      <c r="E11" s="86">
        <f>E10+E10*'%_CO_CI_CP'!D11</f>
        <v>970299.32009471999</v>
      </c>
      <c r="F11" s="86">
        <f t="shared" si="0"/>
        <v>1282428.5226762239</v>
      </c>
    </row>
    <row r="12" spans="1:13" x14ac:dyDescent="0.25">
      <c r="A12" s="107">
        <f t="shared" si="1"/>
        <v>7</v>
      </c>
      <c r="B12" s="105">
        <v>2028</v>
      </c>
      <c r="C12" s="87">
        <f>C11+C11*'%_CO_CI_CP'!D12</f>
        <v>233775.01996292506</v>
      </c>
      <c r="D12" s="87">
        <f>D11+D11*'%_CO_CI_CP'!D12</f>
        <v>85845.283480535029</v>
      </c>
      <c r="E12" s="87">
        <f>E11+E11*'%_CO_CI_CP'!D12</f>
        <v>993586.50377699325</v>
      </c>
      <c r="F12" s="87">
        <f t="shared" si="0"/>
        <v>1313206.8072204534</v>
      </c>
    </row>
    <row r="13" spans="1:13" x14ac:dyDescent="0.25">
      <c r="A13" s="106">
        <f t="shared" si="1"/>
        <v>8</v>
      </c>
      <c r="B13" s="104">
        <v>2029</v>
      </c>
      <c r="C13" s="86">
        <f>C12+C12*'%_CO_CI_CP'!D13</f>
        <v>239385.62044203526</v>
      </c>
      <c r="D13" s="86">
        <f>D12+D12*'%_CO_CI_CP'!D13</f>
        <v>87905.570284067871</v>
      </c>
      <c r="E13" s="86">
        <f>E12+E12*'%_CO_CI_CP'!D13</f>
        <v>1017432.5798676411</v>
      </c>
      <c r="F13" s="86">
        <f t="shared" si="0"/>
        <v>1344723.7705937442</v>
      </c>
    </row>
    <row r="14" spans="1:13" x14ac:dyDescent="0.25">
      <c r="A14" s="107">
        <f t="shared" si="1"/>
        <v>9</v>
      </c>
      <c r="B14" s="105">
        <v>2030</v>
      </c>
      <c r="C14" s="87">
        <f>C13+C13*'%_CO_CI_CP'!D14</f>
        <v>245130.87533264409</v>
      </c>
      <c r="D14" s="87">
        <f>D13+D13*'%_CO_CI_CP'!D14</f>
        <v>90015.303970885507</v>
      </c>
      <c r="E14" s="87">
        <f>E13+E13*'%_CO_CI_CP'!D14</f>
        <v>1041850.9617844644</v>
      </c>
      <c r="F14" s="87">
        <f t="shared" si="0"/>
        <v>1376997.141087994</v>
      </c>
    </row>
    <row r="15" spans="1:13" x14ac:dyDescent="0.25">
      <c r="A15" s="106">
        <f t="shared" si="1"/>
        <v>10</v>
      </c>
      <c r="B15" s="104">
        <v>2031</v>
      </c>
      <c r="C15" s="86">
        <f>C14+C14*'%_CO_CI_CP'!D15</f>
        <v>251014.01634062754</v>
      </c>
      <c r="D15" s="86">
        <f>D14+D14*'%_CO_CI_CP'!D15</f>
        <v>92175.671266186764</v>
      </c>
      <c r="E15" s="86">
        <f>E14+E14*'%_CO_CI_CP'!D15</f>
        <v>1066855.3848672917</v>
      </c>
      <c r="F15" s="86">
        <f t="shared" si="0"/>
        <v>1410045.072474106</v>
      </c>
    </row>
    <row r="16" spans="1:13" x14ac:dyDescent="0.25">
      <c r="A16" s="107">
        <f t="shared" si="1"/>
        <v>11</v>
      </c>
      <c r="B16" s="105">
        <v>2032</v>
      </c>
      <c r="C16" s="87">
        <f>C15+C15*'%_CO_CI_CP'!D16</f>
        <v>257038.3527328026</v>
      </c>
      <c r="D16" s="87">
        <f>D15+D15*'%_CO_CI_CP'!D16</f>
        <v>94387.887376575251</v>
      </c>
      <c r="E16" s="87">
        <f>E15+E15*'%_CO_CI_CP'!D16</f>
        <v>1092459.9141041066</v>
      </c>
      <c r="F16" s="87">
        <f t="shared" si="0"/>
        <v>1443886.1542134844</v>
      </c>
    </row>
    <row r="17" spans="1:6" x14ac:dyDescent="0.25">
      <c r="A17" s="106">
        <f t="shared" si="1"/>
        <v>12</v>
      </c>
      <c r="B17" s="104">
        <v>2033</v>
      </c>
      <c r="C17" s="86">
        <f>C16+C16*'%_CO_CI_CP'!D17</f>
        <v>263207.27319838986</v>
      </c>
      <c r="D17" s="86">
        <f>D16+D16*'%_CO_CI_CP'!D17</f>
        <v>96653.196673613056</v>
      </c>
      <c r="E17" s="86">
        <f>E16+E16*'%_CO_CI_CP'!D17</f>
        <v>1118678.9520426053</v>
      </c>
      <c r="F17" s="86">
        <f t="shared" si="0"/>
        <v>1478539.4219146082</v>
      </c>
    </row>
    <row r="18" spans="1:6" x14ac:dyDescent="0.25">
      <c r="A18" s="107">
        <f t="shared" si="1"/>
        <v>13</v>
      </c>
      <c r="B18" s="105">
        <v>2034</v>
      </c>
      <c r="C18" s="87">
        <f>C17+C17*'%_CO_CI_CP'!D18</f>
        <v>269524.24775515118</v>
      </c>
      <c r="D18" s="87">
        <f>D17+D17*'%_CO_CI_CP'!D18</f>
        <v>98972.873393779766</v>
      </c>
      <c r="E18" s="87">
        <f>E17+E17*'%_CO_CI_CP'!D18</f>
        <v>1145527.2468916278</v>
      </c>
      <c r="F18" s="87">
        <f t="shared" si="0"/>
        <v>1514024.3680405589</v>
      </c>
    </row>
    <row r="19" spans="1:6" x14ac:dyDescent="0.25">
      <c r="A19" s="106">
        <f t="shared" si="1"/>
        <v>14</v>
      </c>
      <c r="B19" s="104">
        <v>2035</v>
      </c>
      <c r="C19" s="86">
        <f>C18+C18*'%_CO_CI_CP'!D19</f>
        <v>275992.82970127481</v>
      </c>
      <c r="D19" s="86">
        <f>D18+D18*'%_CO_CI_CP'!D19</f>
        <v>101348.22235523048</v>
      </c>
      <c r="E19" s="86">
        <f>E18+E18*'%_CO_CI_CP'!D19</f>
        <v>1173019.9008170268</v>
      </c>
      <c r="F19" s="86">
        <f t="shared" si="0"/>
        <v>1550360.9528735322</v>
      </c>
    </row>
    <row r="20" spans="1:6" x14ac:dyDescent="0.25">
      <c r="A20" s="107">
        <f t="shared" si="1"/>
        <v>15</v>
      </c>
      <c r="B20" s="105">
        <v>2036</v>
      </c>
      <c r="C20" s="87">
        <f>C19+C19*'%_CO_CI_CP'!D20</f>
        <v>282616.65761410538</v>
      </c>
      <c r="D20" s="87">
        <f>D19+D19*'%_CO_CI_CP'!D20</f>
        <v>103780.57969175601</v>
      </c>
      <c r="E20" s="87">
        <f>E19+E19*'%_CO_CI_CP'!D20</f>
        <v>1201172.3784366355</v>
      </c>
      <c r="F20" s="87">
        <f t="shared" si="0"/>
        <v>1587569.6157424969</v>
      </c>
    </row>
    <row r="21" spans="1:6" x14ac:dyDescent="0.25">
      <c r="A21" s="106">
        <f t="shared" si="1"/>
        <v>16</v>
      </c>
      <c r="B21" s="104">
        <v>2037</v>
      </c>
      <c r="C21" s="86">
        <f>C20+C20*'%_CO_CI_CP'!D21</f>
        <v>283368.21475576016</v>
      </c>
      <c r="D21" s="86">
        <f>D20+D20*'%_CO_CI_CP'!D21</f>
        <v>104056.56142790304</v>
      </c>
      <c r="E21" s="86">
        <f>E20+E20*'%_CO_CI_CP'!D21</f>
        <v>1204366.6334638998</v>
      </c>
      <c r="F21" s="86">
        <f t="shared" si="0"/>
        <v>1591791.409647563</v>
      </c>
    </row>
    <row r="22" spans="1:6" x14ac:dyDescent="0.25">
      <c r="A22" s="107">
        <f t="shared" si="1"/>
        <v>17</v>
      </c>
      <c r="B22" s="105">
        <v>2038</v>
      </c>
      <c r="C22" s="87">
        <f>C21+C21*'%_CO_CI_CP'!D22</f>
        <v>284043.02018637455</v>
      </c>
      <c r="D22" s="87">
        <f>D21+D21*'%_CO_CI_CP'!D22</f>
        <v>104304.35891924528</v>
      </c>
      <c r="E22" s="87">
        <f>E21+E21*'%_CO_CI_CP'!D22</f>
        <v>1207234.6797104159</v>
      </c>
      <c r="F22" s="87">
        <f t="shared" si="0"/>
        <v>1595582.0588160357</v>
      </c>
    </row>
    <row r="23" spans="1:6" x14ac:dyDescent="0.25">
      <c r="A23" s="106">
        <f t="shared" si="1"/>
        <v>18</v>
      </c>
      <c r="B23" s="104">
        <v>2039</v>
      </c>
      <c r="C23" s="86">
        <f>C22+C22*'%_CO_CI_CP'!D23</f>
        <v>284641.5546723415</v>
      </c>
      <c r="D23" s="86">
        <f>D22+D22*'%_CO_CI_CP'!D23</f>
        <v>104524.14870956958</v>
      </c>
      <c r="E23" s="86">
        <f>E22+E22*'%_CO_CI_CP'!D23</f>
        <v>1209778.5605211037</v>
      </c>
      <c r="F23" s="86">
        <f t="shared" si="0"/>
        <v>1598944.2639030148</v>
      </c>
    </row>
    <row r="24" spans="1:6" x14ac:dyDescent="0.25">
      <c r="A24" s="107">
        <f t="shared" si="1"/>
        <v>19</v>
      </c>
      <c r="B24" s="105">
        <v>2040</v>
      </c>
      <c r="C24" s="87">
        <f>C23+C23*'%_CO_CI_CP'!D24</f>
        <v>285164.46128482098</v>
      </c>
      <c r="D24" s="87">
        <f>D23+D23*'%_CO_CI_CP'!D24</f>
        <v>104716.16694312278</v>
      </c>
      <c r="E24" s="87">
        <f>E23+E23*'%_CO_CI_CP'!D24</f>
        <v>1212001.0090657673</v>
      </c>
      <c r="F24" s="87">
        <f t="shared" si="0"/>
        <v>1601881.6372937111</v>
      </c>
    </row>
    <row r="25" spans="1:6" x14ac:dyDescent="0.25">
      <c r="A25" s="106">
        <f t="shared" si="1"/>
        <v>20</v>
      </c>
      <c r="B25" s="104">
        <v>2041</v>
      </c>
      <c r="C25" s="86">
        <f>C24+C24*'%_CO_CI_CP'!D25</f>
        <v>285612.41137534892</v>
      </c>
      <c r="D25" s="86">
        <f>D24+D24*'%_CO_CI_CP'!D25</f>
        <v>104880.66014908037</v>
      </c>
      <c r="E25" s="86">
        <f>E24+E24*'%_CO_CI_CP'!D25</f>
        <v>1213904.8787109707</v>
      </c>
      <c r="F25" s="86">
        <f t="shared" si="0"/>
        <v>1604397.9502354001</v>
      </c>
    </row>
    <row r="26" spans="1:6" x14ac:dyDescent="0.25">
      <c r="A26" s="107">
        <f t="shared" si="1"/>
        <v>21</v>
      </c>
      <c r="B26" s="105">
        <v>2042</v>
      </c>
      <c r="C26" s="87">
        <f>C25+C25*'%_CO_CI_CP'!D26</f>
        <v>285986.6308367484</v>
      </c>
      <c r="D26" s="87">
        <f>D25+D25*'%_CO_CI_CP'!D26</f>
        <v>105018.07849152289</v>
      </c>
      <c r="E26" s="87">
        <f>E25+E25*'%_CO_CI_CP'!D26</f>
        <v>1215495.3797249636</v>
      </c>
      <c r="F26" s="87">
        <f t="shared" si="0"/>
        <v>1606500.0890532348</v>
      </c>
    </row>
    <row r="27" spans="1:6" x14ac:dyDescent="0.25">
      <c r="A27" s="106">
        <f t="shared" si="1"/>
        <v>22</v>
      </c>
      <c r="B27" s="104">
        <v>2043</v>
      </c>
      <c r="C27" s="86">
        <f>C26+C26*'%_CO_CI_CP'!D27</f>
        <v>286288.47466790711</v>
      </c>
      <c r="D27" s="86">
        <f>D26+D26*'%_CO_CI_CP'!D27</f>
        <v>105128.91954398768</v>
      </c>
      <c r="E27" s="86">
        <f>E26+E26*'%_CO_CI_CP'!D27</f>
        <v>1216778.2711003346</v>
      </c>
      <c r="F27" s="86">
        <f t="shared" si="0"/>
        <v>1608195.6653122294</v>
      </c>
    </row>
    <row r="28" spans="1:6" x14ac:dyDescent="0.25">
      <c r="A28" s="107">
        <f t="shared" si="1"/>
        <v>23</v>
      </c>
      <c r="B28" s="105">
        <v>2044</v>
      </c>
      <c r="C28" s="87">
        <f>C27+C27*'%_CO_CI_CP'!D28</f>
        <v>286518.32157994789</v>
      </c>
      <c r="D28" s="87">
        <f>D27+D27*'%_CO_CI_CP'!D28</f>
        <v>105213.32237421477</v>
      </c>
      <c r="E28" s="87">
        <f>E27+E27*'%_CO_CI_CP'!D28</f>
        <v>1217755.1624284787</v>
      </c>
      <c r="F28" s="87">
        <f t="shared" si="0"/>
        <v>1609486.8063826414</v>
      </c>
    </row>
    <row r="29" spans="1:6" x14ac:dyDescent="0.25">
      <c r="A29" s="106">
        <f t="shared" si="1"/>
        <v>24</v>
      </c>
      <c r="B29" s="104">
        <v>2045</v>
      </c>
      <c r="C29" s="86">
        <f>C28+C28*'%_CO_CI_CP'!D29</f>
        <v>286676.48142742581</v>
      </c>
      <c r="D29" s="86">
        <f>D28+D28*'%_CO_CI_CP'!D29</f>
        <v>105271.40076490052</v>
      </c>
      <c r="E29" s="86">
        <f>E28+E28*'%_CO_CI_CP'!D29</f>
        <v>1218427.3706478102</v>
      </c>
      <c r="F29" s="86">
        <f t="shared" si="0"/>
        <v>1610375.2528401366</v>
      </c>
    </row>
    <row r="30" spans="1:6" x14ac:dyDescent="0.25">
      <c r="A30" s="107">
        <f t="shared" si="1"/>
        <v>25</v>
      </c>
      <c r="B30" s="105">
        <v>2046</v>
      </c>
      <c r="C30" s="87">
        <f>C29+C29*'%_CO_CI_CP'!D30</f>
        <v>286763.32923271903</v>
      </c>
      <c r="D30" s="87">
        <f>D29+D29*'%_CO_CI_CP'!D30</f>
        <v>105303.29242922907</v>
      </c>
      <c r="E30" s="87">
        <f>E29+E29*'%_CO_CI_CP'!D30</f>
        <v>1218796.4896718857</v>
      </c>
      <c r="F30" s="87">
        <f t="shared" si="0"/>
        <v>1610863.1113338338</v>
      </c>
    </row>
    <row r="31" spans="1:6" x14ac:dyDescent="0.25">
      <c r="A31" s="106">
        <f t="shared" si="1"/>
        <v>26</v>
      </c>
      <c r="B31" s="104">
        <v>2047</v>
      </c>
      <c r="C31" s="86">
        <f>C30+C30*'%_CO_CI_CP'!D31</f>
        <v>286779.82161028724</v>
      </c>
      <c r="D31" s="86">
        <f>D30+D30*'%_CO_CI_CP'!D31</f>
        <v>105309.34864869955</v>
      </c>
      <c r="E31" s="86">
        <f>E30+E30*'%_CO_CI_CP'!D31</f>
        <v>1218866.5852867619</v>
      </c>
      <c r="F31" s="86">
        <f t="shared" si="0"/>
        <v>1610955.7555457486</v>
      </c>
    </row>
    <row r="32" spans="1:6" x14ac:dyDescent="0.25">
      <c r="A32" s="107">
        <f t="shared" si="1"/>
        <v>27</v>
      </c>
      <c r="B32" s="105">
        <v>2048</v>
      </c>
      <c r="C32" s="87">
        <f>C31+C31*'%_CO_CI_CP'!D32</f>
        <v>286726.71844153933</v>
      </c>
      <c r="D32" s="87">
        <f>D31+D31*'%_CO_CI_CP'!D32</f>
        <v>105289.84846182927</v>
      </c>
      <c r="E32" s="87">
        <f>E31+E31*'%_CO_CI_CP'!D32</f>
        <v>1218640.8871271207</v>
      </c>
      <c r="F32" s="87">
        <f t="shared" si="0"/>
        <v>1610657.4540304893</v>
      </c>
    </row>
    <row r="33" spans="1:6" x14ac:dyDescent="0.25">
      <c r="A33" s="106">
        <f t="shared" si="1"/>
        <v>28</v>
      </c>
      <c r="B33" s="104">
        <v>2049</v>
      </c>
      <c r="C33" s="86">
        <f>C32+C32*'%_CO_CI_CP'!D33</f>
        <v>286603.73815229628</v>
      </c>
      <c r="D33" s="86">
        <f>D32+D32*'%_CO_CI_CP'!D33</f>
        <v>105244.68847085049</v>
      </c>
      <c r="E33" s="86">
        <f>E32+E32*'%_CO_CI_CP'!D33</f>
        <v>1218118.1984513081</v>
      </c>
      <c r="F33" s="86">
        <f t="shared" si="0"/>
        <v>1609966.6250744548</v>
      </c>
    </row>
    <row r="34" spans="1:6" x14ac:dyDescent="0.25">
      <c r="A34" s="107">
        <f t="shared" si="1"/>
        <v>29</v>
      </c>
      <c r="B34" s="105">
        <v>2050</v>
      </c>
      <c r="C34" s="87">
        <f>C33+C33*'%_CO_CI_CP'!D34</f>
        <v>286410.46268482506</v>
      </c>
      <c r="D34" s="87">
        <f>D33+D33*'%_CO_CI_CP'!D34</f>
        <v>105173.71515942684</v>
      </c>
      <c r="E34" s="87">
        <f>E33+E33*'%_CO_CI_CP'!D34</f>
        <v>1217296.7424376542</v>
      </c>
      <c r="F34" s="87">
        <f t="shared" si="0"/>
        <v>1608880.9202819061</v>
      </c>
    </row>
    <row r="35" spans="1:6" x14ac:dyDescent="0.25">
      <c r="A35" s="106">
        <f t="shared" si="1"/>
        <v>30</v>
      </c>
      <c r="B35" s="104">
        <v>2051</v>
      </c>
      <c r="C35" s="86">
        <f>C34+C34*'%_CO_CI_CP'!D35</f>
        <v>286147.20066409919</v>
      </c>
      <c r="D35" s="86">
        <f>D34+D34*'%_CO_CI_CP'!D35</f>
        <v>105077.04185873605</v>
      </c>
      <c r="E35" s="86">
        <f>E34+E34*'%_CO_CI_CP'!D35</f>
        <v>1216177.8307986271</v>
      </c>
      <c r="F35" s="86">
        <f t="shared" si="0"/>
        <v>1607402.0733214624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29F3B-D9E4-4E1A-8E13-04ED3046381F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540</v>
      </c>
    </row>
    <row r="2" spans="1:12" x14ac:dyDescent="0.25">
      <c r="B2" s="151"/>
    </row>
    <row r="4" spans="1:12" ht="25.5" x14ac:dyDescent="0.25">
      <c r="A4" s="108" t="s">
        <v>360</v>
      </c>
      <c r="B4" s="108" t="s">
        <v>30</v>
      </c>
      <c r="C4" s="108" t="s">
        <v>2</v>
      </c>
      <c r="D4" s="108" t="s">
        <v>4</v>
      </c>
      <c r="E4" s="108" t="s">
        <v>293</v>
      </c>
    </row>
    <row r="5" spans="1:12" x14ac:dyDescent="0.25">
      <c r="A5" s="106">
        <v>0</v>
      </c>
      <c r="B5" s="104">
        <v>2021</v>
      </c>
      <c r="C5" s="86">
        <f>'Tabela 15'!B17+'Tabela 15'!B17*'%_CO_CI_CP'!C5</f>
        <v>2005314</v>
      </c>
      <c r="D5" s="86">
        <f>'Tabela 15'!C17+'Tabela 15'!C17*'%_CO_CI_CP'!C5</f>
        <v>1985349</v>
      </c>
      <c r="E5" s="86">
        <f>C5+D5</f>
        <v>3990663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C5+C5*'%_CO_CI_CP'!C6</f>
        <v>2105579.7000000002</v>
      </c>
      <c r="D6" s="87">
        <f>D5+D5*'%_CO_CI_CP'!C6</f>
        <v>2084616.45</v>
      </c>
      <c r="E6" s="87">
        <f>C6+D6</f>
        <v>4190196.1500000004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C6+C6*'%_CO_CI_CP'!C7</f>
        <v>2263498.1775000002</v>
      </c>
      <c r="D7" s="86">
        <f>D6+D6*'%_CO_CI_CP'!C7</f>
        <v>2240962.6837499999</v>
      </c>
      <c r="E7" s="86">
        <f t="shared" ref="E7:E35" si="1">C7+D7</f>
        <v>4504460.8612500001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C7+C7*'%_CO_CI_CP'!C8</f>
        <v>2489847.9952500002</v>
      </c>
      <c r="D8" s="87">
        <f>D7+D7*'%_CO_CI_CP'!C8</f>
        <v>2465058.9521249998</v>
      </c>
      <c r="E8" s="87">
        <f t="shared" si="1"/>
        <v>4954906.9473749995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C8+C8*'%_CO_CI_CP'!C9</f>
        <v>2801078.9946562503</v>
      </c>
      <c r="D9" s="86">
        <f>D8+D8*'%_CO_CI_CP'!C9</f>
        <v>2773191.3211406246</v>
      </c>
      <c r="E9" s="86">
        <f t="shared" si="1"/>
        <v>5574270.3157968745</v>
      </c>
    </row>
    <row r="10" spans="1:12" x14ac:dyDescent="0.25">
      <c r="A10" s="107">
        <f t="shared" si="0"/>
        <v>5</v>
      </c>
      <c r="B10" s="105">
        <v>2026</v>
      </c>
      <c r="C10" s="87">
        <f>C9+C9*'%_CO_CI_CP'!C10</f>
        <v>3221240.8438546881</v>
      </c>
      <c r="D10" s="87">
        <f>D9+D9*'%_CO_CI_CP'!C10</f>
        <v>3189170.0193117182</v>
      </c>
      <c r="E10" s="87">
        <f t="shared" si="1"/>
        <v>6410410.8631664068</v>
      </c>
    </row>
    <row r="11" spans="1:12" x14ac:dyDescent="0.25">
      <c r="A11" s="106">
        <f t="shared" si="0"/>
        <v>6</v>
      </c>
      <c r="B11" s="104">
        <v>2027</v>
      </c>
      <c r="C11" s="86">
        <f>C10+C10*'%_CO_CI_CP'!C11</f>
        <v>3784957.9915292584</v>
      </c>
      <c r="D11" s="86">
        <f>D10+D10*'%_CO_CI_CP'!C11</f>
        <v>3747274.7726912689</v>
      </c>
      <c r="E11" s="111">
        <f t="shared" si="1"/>
        <v>7532232.7642205274</v>
      </c>
    </row>
    <row r="12" spans="1:12" x14ac:dyDescent="0.25">
      <c r="A12" s="107">
        <f t="shared" si="0"/>
        <v>7</v>
      </c>
      <c r="B12" s="105">
        <v>2028</v>
      </c>
      <c r="C12" s="87">
        <f>C11+C11*'%_CO_CI_CP'!C12</f>
        <v>4541949.5898351101</v>
      </c>
      <c r="D12" s="87">
        <f>D11+D11*'%_CO_CI_CP'!C12</f>
        <v>4496729.7272295225</v>
      </c>
      <c r="E12" s="87">
        <f t="shared" si="1"/>
        <v>9038679.3170646317</v>
      </c>
    </row>
    <row r="13" spans="1:12" x14ac:dyDescent="0.25">
      <c r="A13" s="106">
        <f t="shared" si="0"/>
        <v>8</v>
      </c>
      <c r="B13" s="104">
        <v>2029</v>
      </c>
      <c r="C13" s="86">
        <f>C12+C12*'%_CO_CI_CP'!C13</f>
        <v>4610078.8336826367</v>
      </c>
      <c r="D13" s="86">
        <f>D12+D12*'%_CO_CI_CP'!C13</f>
        <v>4564180.6731379656</v>
      </c>
      <c r="E13" s="86">
        <f t="shared" si="1"/>
        <v>9174259.5068206023</v>
      </c>
    </row>
    <row r="14" spans="1:12" x14ac:dyDescent="0.25">
      <c r="A14" s="107">
        <f t="shared" si="0"/>
        <v>9</v>
      </c>
      <c r="B14" s="105">
        <v>2030</v>
      </c>
      <c r="C14" s="87">
        <f>C13+C13*'%_CO_CI_CP'!C14</f>
        <v>4679230.0161878765</v>
      </c>
      <c r="D14" s="87">
        <f>D13+D13*'%_CO_CI_CP'!C14</f>
        <v>4632643.3832350355</v>
      </c>
      <c r="E14" s="87">
        <f t="shared" si="1"/>
        <v>9311873.3994229119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C14+C14*'%_CO_CI_CP'!C15</f>
        <v>4749418.4664306948</v>
      </c>
      <c r="D15" s="86">
        <f>D14+D14*'%_CO_CI_CP'!C15</f>
        <v>4702133.0339835612</v>
      </c>
      <c r="E15" s="86">
        <f t="shared" si="1"/>
        <v>9451551.500414256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C15+C15*'%_CO_CI_CP'!C16</f>
        <v>4820659.7434271555</v>
      </c>
      <c r="D16" s="87">
        <f>D15+D15*'%_CO_CI_CP'!C16</f>
        <v>4772665.0294933142</v>
      </c>
      <c r="E16" s="87">
        <f t="shared" si="1"/>
        <v>9593324.7729204707</v>
      </c>
    </row>
    <row r="17" spans="1:5" x14ac:dyDescent="0.25">
      <c r="A17" s="106">
        <f t="shared" si="0"/>
        <v>12</v>
      </c>
      <c r="B17" s="104">
        <v>2033</v>
      </c>
      <c r="C17" s="86">
        <f>C16+C16*'%_CO_CI_CP'!C17</f>
        <v>4892969.6395785632</v>
      </c>
      <c r="D17" s="86">
        <f>D16+D16*'%_CO_CI_CP'!C17</f>
        <v>4844255.0049357135</v>
      </c>
      <c r="E17" s="86">
        <f t="shared" si="1"/>
        <v>9737224.6445142776</v>
      </c>
    </row>
    <row r="18" spans="1:5" x14ac:dyDescent="0.25">
      <c r="A18" s="107">
        <f t="shared" si="0"/>
        <v>13</v>
      </c>
      <c r="B18" s="105">
        <v>2034</v>
      </c>
      <c r="C18" s="87">
        <f>C17+C17*'%_CO_CI_CP'!C18</f>
        <v>4966364.1841722419</v>
      </c>
      <c r="D18" s="87">
        <f>D17+D17*'%_CO_CI_CP'!C18</f>
        <v>4916918.8300097492</v>
      </c>
      <c r="E18" s="87">
        <f t="shared" si="1"/>
        <v>9883283.0141819902</v>
      </c>
    </row>
    <row r="19" spans="1:5" x14ac:dyDescent="0.25">
      <c r="A19" s="106">
        <f t="shared" si="0"/>
        <v>14</v>
      </c>
      <c r="B19" s="104">
        <v>2035</v>
      </c>
      <c r="C19" s="86">
        <f>C18+C18*'%_CO_CI_CP'!C19</f>
        <v>5040859.6469348259</v>
      </c>
      <c r="D19" s="86">
        <f>D18+D18*'%_CO_CI_CP'!C19</f>
        <v>4990672.6124598952</v>
      </c>
      <c r="E19" s="86">
        <f t="shared" si="1"/>
        <v>10031532.25939472</v>
      </c>
    </row>
    <row r="20" spans="1:5" x14ac:dyDescent="0.25">
      <c r="A20" s="107">
        <f t="shared" si="0"/>
        <v>15</v>
      </c>
      <c r="B20" s="105">
        <v>2036</v>
      </c>
      <c r="C20" s="87">
        <f>C19+C19*'%_CO_CI_CP'!C20</f>
        <v>5116472.5416388484</v>
      </c>
      <c r="D20" s="87">
        <f>D19+D19*'%_CO_CI_CP'!C20</f>
        <v>5065532.7016467936</v>
      </c>
      <c r="E20" s="87">
        <f t="shared" si="1"/>
        <v>10182005.243285641</v>
      </c>
    </row>
    <row r="21" spans="1:5" x14ac:dyDescent="0.25">
      <c r="A21" s="106">
        <f t="shared" si="0"/>
        <v>16</v>
      </c>
      <c r="B21" s="104">
        <v>2037</v>
      </c>
      <c r="C21" s="86">
        <f>C20+C20*'%_CO_CI_CP'!C21</f>
        <v>5193219.6297634309</v>
      </c>
      <c r="D21" s="86">
        <f>D20+D20*'%_CO_CI_CP'!C21</f>
        <v>5141515.6921714954</v>
      </c>
      <c r="E21" s="86">
        <f t="shared" si="1"/>
        <v>10334735.321934927</v>
      </c>
    </row>
    <row r="22" spans="1:5" x14ac:dyDescent="0.25">
      <c r="A22" s="107">
        <f t="shared" si="0"/>
        <v>17</v>
      </c>
      <c r="B22" s="105">
        <v>2038</v>
      </c>
      <c r="C22" s="87">
        <f>C21+C21*'%_CO_CI_CP'!C22</f>
        <v>5271117.9242098825</v>
      </c>
      <c r="D22" s="87">
        <f>D21+D21*'%_CO_CI_CP'!C22</f>
        <v>5218638.4275540682</v>
      </c>
      <c r="E22" s="87">
        <f t="shared" si="1"/>
        <v>10489756.351763951</v>
      </c>
    </row>
    <row r="23" spans="1:5" x14ac:dyDescent="0.25">
      <c r="A23" s="106">
        <f t="shared" si="0"/>
        <v>18</v>
      </c>
      <c r="B23" s="104">
        <v>2039</v>
      </c>
      <c r="C23" s="86">
        <f>C22+C22*'%_CO_CI_CP'!C23</f>
        <v>5282225.2059701169</v>
      </c>
      <c r="D23" s="86">
        <f>D22+D22*'%_CO_CI_CP'!C23</f>
        <v>5229635.124697458</v>
      </c>
      <c r="E23" s="86">
        <f t="shared" si="1"/>
        <v>10511860.330667574</v>
      </c>
    </row>
    <row r="24" spans="1:5" x14ac:dyDescent="0.25">
      <c r="A24" s="107">
        <f t="shared" si="0"/>
        <v>19</v>
      </c>
      <c r="B24" s="105">
        <v>2040</v>
      </c>
      <c r="C24" s="87">
        <f>C23+C23*'%_CO_CI_CP'!C24</f>
        <v>5291929.0262432564</v>
      </c>
      <c r="D24" s="87">
        <f>D23+D23*'%_CO_CI_CP'!C24</f>
        <v>5239242.3332819771</v>
      </c>
      <c r="E24" s="87">
        <f t="shared" si="1"/>
        <v>10531171.359525234</v>
      </c>
    </row>
    <row r="25" spans="1:5" x14ac:dyDescent="0.25">
      <c r="A25" s="106">
        <f t="shared" si="0"/>
        <v>20</v>
      </c>
      <c r="B25" s="104">
        <v>2041</v>
      </c>
      <c r="C25" s="86">
        <f>C24+C24*'%_CO_CI_CP'!C25</f>
        <v>5300241.8436107943</v>
      </c>
      <c r="D25" s="86">
        <f>D24+D24*'%_CO_CI_CP'!C25</f>
        <v>5247472.3878509002</v>
      </c>
      <c r="E25" s="86">
        <f t="shared" si="1"/>
        <v>10547714.231461694</v>
      </c>
    </row>
    <row r="26" spans="1:5" x14ac:dyDescent="0.25">
      <c r="A26" s="107">
        <f t="shared" si="0"/>
        <v>21</v>
      </c>
      <c r="B26" s="105">
        <v>2042</v>
      </c>
      <c r="C26" s="87">
        <f>C25+C25*'%_CO_CI_CP'!C26</f>
        <v>5307186.4075338114</v>
      </c>
      <c r="D26" s="87">
        <f>D25+D25*'%_CO_CI_CP'!C26</f>
        <v>5254347.8113706065</v>
      </c>
      <c r="E26" s="87">
        <f t="shared" si="1"/>
        <v>10561534.218904417</v>
      </c>
    </row>
    <row r="27" spans="1:5" x14ac:dyDescent="0.25">
      <c r="A27" s="106">
        <f t="shared" si="0"/>
        <v>22</v>
      </c>
      <c r="B27" s="104">
        <v>2043</v>
      </c>
      <c r="C27" s="86">
        <f>C26+C26*'%_CO_CI_CP'!C27</f>
        <v>5312787.8633544426</v>
      </c>
      <c r="D27" s="86">
        <f>D26+D26*'%_CO_CI_CP'!C27</f>
        <v>5259893.4988350309</v>
      </c>
      <c r="E27" s="86">
        <f t="shared" si="1"/>
        <v>10572681.362189474</v>
      </c>
    </row>
    <row r="28" spans="1:5" x14ac:dyDescent="0.25">
      <c r="A28" s="107">
        <f t="shared" si="0"/>
        <v>23</v>
      </c>
      <c r="B28" s="105">
        <v>2044</v>
      </c>
      <c r="C28" s="87">
        <f>C27+C27*'%_CO_CI_CP'!C28</f>
        <v>5317053.2389904549</v>
      </c>
      <c r="D28" s="87">
        <f>D27+D27*'%_CO_CI_CP'!C28</f>
        <v>5264116.4081916614</v>
      </c>
      <c r="E28" s="87">
        <f t="shared" si="1"/>
        <v>10581169.647182116</v>
      </c>
    </row>
    <row r="29" spans="1:5" x14ac:dyDescent="0.25">
      <c r="A29" s="106">
        <f t="shared" si="0"/>
        <v>24</v>
      </c>
      <c r="B29" s="104">
        <v>2045</v>
      </c>
      <c r="C29" s="86">
        <f>C28+C28*'%_CO_CI_CP'!C29</f>
        <v>5319988.2845563833</v>
      </c>
      <c r="D29" s="86">
        <f>D28+D28*'%_CO_CI_CP'!C29</f>
        <v>5267022.2323066238</v>
      </c>
      <c r="E29" s="86">
        <f t="shared" si="1"/>
        <v>10587010.516863007</v>
      </c>
    </row>
    <row r="30" spans="1:5" x14ac:dyDescent="0.25">
      <c r="A30" s="107">
        <f t="shared" si="0"/>
        <v>25</v>
      </c>
      <c r="B30" s="105">
        <v>2046</v>
      </c>
      <c r="C30" s="87">
        <f>C29+C29*'%_CO_CI_CP'!C30</f>
        <v>5321599.9595162496</v>
      </c>
      <c r="D30" s="87">
        <f>D29+D29*'%_CO_CI_CP'!C30</f>
        <v>5268617.8613551902</v>
      </c>
      <c r="E30" s="87">
        <f t="shared" si="1"/>
        <v>10590217.820871439</v>
      </c>
    </row>
    <row r="31" spans="1:5" x14ac:dyDescent="0.25">
      <c r="A31" s="106">
        <f t="shared" si="0"/>
        <v>26</v>
      </c>
      <c r="B31" s="104">
        <v>2047</v>
      </c>
      <c r="C31" s="86">
        <f>C30+C30*'%_CO_CI_CP'!C31</f>
        <v>5321906.0162077872</v>
      </c>
      <c r="D31" s="86">
        <f>D30+D30*'%_CO_CI_CP'!C31</f>
        <v>5268920.8709319886</v>
      </c>
      <c r="E31" s="86">
        <f t="shared" si="1"/>
        <v>10590826.887139775</v>
      </c>
    </row>
    <row r="32" spans="1:5" x14ac:dyDescent="0.25">
      <c r="A32" s="107">
        <f t="shared" si="0"/>
        <v>27</v>
      </c>
      <c r="B32" s="105">
        <v>2048</v>
      </c>
      <c r="C32" s="87">
        <f>C31+C31*'%_CO_CI_CP'!C32</f>
        <v>5320920.5561023578</v>
      </c>
      <c r="D32" s="87">
        <f>D31+D31*'%_CO_CI_CP'!C32</f>
        <v>5267945.2221134715</v>
      </c>
      <c r="E32" s="87">
        <f t="shared" si="1"/>
        <v>10588865.778215829</v>
      </c>
    </row>
    <row r="33" spans="1:5" x14ac:dyDescent="0.25">
      <c r="A33" s="106">
        <f t="shared" si="0"/>
        <v>28</v>
      </c>
      <c r="B33" s="104">
        <v>2049</v>
      </c>
      <c r="C33" s="86">
        <f>C32+C32*'%_CO_CI_CP'!C33</f>
        <v>5318638.3538974654</v>
      </c>
      <c r="D33" s="86">
        <f>D32+D32*'%_CO_CI_CP'!C33</f>
        <v>5265685.7416205015</v>
      </c>
      <c r="E33" s="86">
        <f t="shared" si="1"/>
        <v>10584324.095517967</v>
      </c>
    </row>
    <row r="34" spans="1:5" x14ac:dyDescent="0.25">
      <c r="A34" s="107">
        <f t="shared" si="0"/>
        <v>29</v>
      </c>
      <c r="B34" s="105">
        <v>2050</v>
      </c>
      <c r="C34" s="87">
        <f>C33+C33*'%_CO_CI_CP'!C34</f>
        <v>5315051.6515020709</v>
      </c>
      <c r="D34" s="87">
        <f>D33+D33*'%_CO_CI_CP'!C34</f>
        <v>5262134.7486019544</v>
      </c>
      <c r="E34" s="87">
        <f t="shared" si="1"/>
        <v>10577186.400104025</v>
      </c>
    </row>
    <row r="35" spans="1:5" x14ac:dyDescent="0.25">
      <c r="A35" s="106">
        <f t="shared" si="0"/>
        <v>30</v>
      </c>
      <c r="B35" s="104">
        <v>2051</v>
      </c>
      <c r="C35" s="86">
        <f>C34+C34*'%_CO_CI_CP'!C35</f>
        <v>5310166.1762127951</v>
      </c>
      <c r="D35" s="86">
        <f>D34+D34*'%_CO_CI_CP'!C35</f>
        <v>5257297.9133332185</v>
      </c>
      <c r="E35" s="86">
        <f t="shared" si="1"/>
        <v>10567464.089546014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34EA7-2CB6-414C-B755-871CA1ED23BF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51"/>
      <c r="C1" s="78" t="s">
        <v>543</v>
      </c>
    </row>
    <row r="2" spans="1:12" x14ac:dyDescent="0.25">
      <c r="B2" s="151"/>
    </row>
    <row r="4" spans="1:12" ht="25.5" x14ac:dyDescent="0.25">
      <c r="A4" s="108" t="s">
        <v>360</v>
      </c>
      <c r="B4" s="108" t="s">
        <v>30</v>
      </c>
      <c r="C4" s="108" t="s">
        <v>315</v>
      </c>
    </row>
    <row r="5" spans="1:12" x14ac:dyDescent="0.25">
      <c r="A5" s="106">
        <v>0</v>
      </c>
      <c r="B5" s="104">
        <v>2021</v>
      </c>
      <c r="C5" s="86">
        <f>2730000+2730000*'%_CO_CI_CP'!C5</f>
        <v>2730000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C5+C5*'%_CO_CI_CP'!C6</f>
        <v>2866500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C6+C6*'%_CO_CI_CP'!C7</f>
        <v>3081487.5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C7+C7*'%_CO_CI_CP'!C8</f>
        <v>3389636.25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C8+C8*'%_CO_CI_CP'!C9</f>
        <v>3813340.78125</v>
      </c>
    </row>
    <row r="10" spans="1:12" x14ac:dyDescent="0.25">
      <c r="A10" s="107">
        <f t="shared" si="0"/>
        <v>5</v>
      </c>
      <c r="B10" s="105">
        <v>2026</v>
      </c>
      <c r="C10" s="87">
        <f>C9+C9*'%_CO_CI_CP'!C10</f>
        <v>4385341.8984375</v>
      </c>
    </row>
    <row r="11" spans="1:12" x14ac:dyDescent="0.25">
      <c r="A11" s="106">
        <f t="shared" si="0"/>
        <v>6</v>
      </c>
      <c r="B11" s="104">
        <v>2027</v>
      </c>
      <c r="C11" s="86">
        <f>C10+C10*'%_CO_CI_CP'!C11</f>
        <v>5152776.7306640623</v>
      </c>
    </row>
    <row r="12" spans="1:12" x14ac:dyDescent="0.25">
      <c r="A12" s="107">
        <f t="shared" si="0"/>
        <v>7</v>
      </c>
      <c r="B12" s="105">
        <v>2028</v>
      </c>
      <c r="C12" s="87">
        <f>C11+C11*'%_CO_CI_CP'!C12</f>
        <v>6183332.0767968744</v>
      </c>
    </row>
    <row r="13" spans="1:12" x14ac:dyDescent="0.25">
      <c r="A13" s="106">
        <f t="shared" si="0"/>
        <v>8</v>
      </c>
      <c r="B13" s="104">
        <v>2029</v>
      </c>
      <c r="C13" s="86">
        <f>C12+C12*'%_CO_CI_CP'!C13</f>
        <v>6276082.0579488277</v>
      </c>
    </row>
    <row r="14" spans="1:12" x14ac:dyDescent="0.25">
      <c r="A14" s="107">
        <f t="shared" si="0"/>
        <v>9</v>
      </c>
      <c r="B14" s="105">
        <v>2030</v>
      </c>
      <c r="C14" s="87">
        <f>C13+C13*'%_CO_CI_CP'!C14</f>
        <v>6370223.2888180604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C14+C14*'%_CO_CI_CP'!C15</f>
        <v>6465776.6381503316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C15+C15*'%_CO_CI_CP'!C16</f>
        <v>6562763.2877225867</v>
      </c>
    </row>
    <row r="17" spans="1:3" x14ac:dyDescent="0.25">
      <c r="A17" s="106">
        <f t="shared" si="0"/>
        <v>12</v>
      </c>
      <c r="B17" s="104">
        <v>2033</v>
      </c>
      <c r="C17" s="86">
        <f>C16+C16*'%_CO_CI_CP'!C17</f>
        <v>6661204.7370384252</v>
      </c>
    </row>
    <row r="18" spans="1:3" x14ac:dyDescent="0.25">
      <c r="A18" s="107">
        <f t="shared" si="0"/>
        <v>13</v>
      </c>
      <c r="B18" s="105">
        <v>2034</v>
      </c>
      <c r="C18" s="87">
        <f>C17+C17*'%_CO_CI_CP'!C18</f>
        <v>6761122.8080940014</v>
      </c>
    </row>
    <row r="19" spans="1:3" x14ac:dyDescent="0.25">
      <c r="A19" s="106">
        <f t="shared" si="0"/>
        <v>14</v>
      </c>
      <c r="B19" s="104">
        <v>2035</v>
      </c>
      <c r="C19" s="86">
        <f>C18+C18*'%_CO_CI_CP'!C19</f>
        <v>6862539.6502154116</v>
      </c>
    </row>
    <row r="20" spans="1:3" x14ac:dyDescent="0.25">
      <c r="A20" s="107">
        <f t="shared" si="0"/>
        <v>15</v>
      </c>
      <c r="B20" s="105">
        <v>2036</v>
      </c>
      <c r="C20" s="87">
        <f>C19+C19*'%_CO_CI_CP'!C20</f>
        <v>6965477.7449686425</v>
      </c>
    </row>
    <row r="21" spans="1:3" x14ac:dyDescent="0.25">
      <c r="A21" s="106">
        <f t="shared" si="0"/>
        <v>16</v>
      </c>
      <c r="B21" s="104">
        <v>2037</v>
      </c>
      <c r="C21" s="86">
        <f>C20+C20*'%_CO_CI_CP'!C21</f>
        <v>7069959.9111431725</v>
      </c>
    </row>
    <row r="22" spans="1:3" x14ac:dyDescent="0.25">
      <c r="A22" s="107">
        <f t="shared" si="0"/>
        <v>17</v>
      </c>
      <c r="B22" s="105">
        <v>2038</v>
      </c>
      <c r="C22" s="87">
        <f>C21+C21*'%_CO_CI_CP'!C22</f>
        <v>7176009.3098103199</v>
      </c>
    </row>
    <row r="23" spans="1:3" x14ac:dyDescent="0.25">
      <c r="A23" s="106">
        <f t="shared" si="0"/>
        <v>18</v>
      </c>
      <c r="B23" s="104">
        <v>2039</v>
      </c>
      <c r="C23" s="86">
        <f>C22+C22*'%_CO_CI_CP'!C23</f>
        <v>7191130.5722188214</v>
      </c>
    </row>
    <row r="24" spans="1:3" x14ac:dyDescent="0.25">
      <c r="A24" s="107">
        <f t="shared" si="0"/>
        <v>19</v>
      </c>
      <c r="B24" s="105">
        <v>2040</v>
      </c>
      <c r="C24" s="87">
        <f>C23+C23*'%_CO_CI_CP'!C24</f>
        <v>7204341.1862900695</v>
      </c>
    </row>
    <row r="25" spans="1:3" x14ac:dyDescent="0.25">
      <c r="A25" s="106">
        <f t="shared" si="0"/>
        <v>20</v>
      </c>
      <c r="B25" s="104">
        <v>2041</v>
      </c>
      <c r="C25" s="86">
        <f>C24+C24*'%_CO_CI_CP'!C25</f>
        <v>7215658.1129226964</v>
      </c>
    </row>
    <row r="26" spans="1:3" x14ac:dyDescent="0.25">
      <c r="A26" s="107">
        <f t="shared" si="0"/>
        <v>21</v>
      </c>
      <c r="B26" s="105">
        <v>2042</v>
      </c>
      <c r="C26" s="87">
        <f>C25+C25*'%_CO_CI_CP'!C26</f>
        <v>7225112.3228418594</v>
      </c>
    </row>
    <row r="27" spans="1:3" x14ac:dyDescent="0.25">
      <c r="A27" s="106">
        <f t="shared" si="0"/>
        <v>22</v>
      </c>
      <c r="B27" s="104">
        <v>2043</v>
      </c>
      <c r="C27" s="86">
        <f>C26+C26*'%_CO_CI_CP'!C27</f>
        <v>7232738.0484839901</v>
      </c>
    </row>
    <row r="28" spans="1:3" x14ac:dyDescent="0.25">
      <c r="A28" s="107">
        <f t="shared" si="0"/>
        <v>23</v>
      </c>
      <c r="B28" s="105">
        <v>2044</v>
      </c>
      <c r="C28" s="87">
        <f>C27+C27*'%_CO_CI_CP'!C28</f>
        <v>7238544.8575354973</v>
      </c>
    </row>
    <row r="29" spans="1:3" x14ac:dyDescent="0.25">
      <c r="A29" s="106">
        <f t="shared" si="0"/>
        <v>24</v>
      </c>
      <c r="B29" s="104">
        <v>2045</v>
      </c>
      <c r="C29" s="86">
        <f>C28+C28*'%_CO_CI_CP'!C29</f>
        <v>7242540.5781034408</v>
      </c>
    </row>
    <row r="30" spans="1:3" x14ac:dyDescent="0.25">
      <c r="A30" s="107">
        <f t="shared" si="0"/>
        <v>25</v>
      </c>
      <c r="B30" s="105">
        <v>2046</v>
      </c>
      <c r="C30" s="87">
        <f>C29+C29*'%_CO_CI_CP'!C30</f>
        <v>7244734.6846824782</v>
      </c>
    </row>
    <row r="31" spans="1:3" x14ac:dyDescent="0.25">
      <c r="A31" s="106">
        <f t="shared" si="0"/>
        <v>26</v>
      </c>
      <c r="B31" s="104">
        <v>2047</v>
      </c>
      <c r="C31" s="86">
        <f>C30+C30*'%_CO_CI_CP'!C31</f>
        <v>7245151.3449999634</v>
      </c>
    </row>
    <row r="32" spans="1:3" x14ac:dyDescent="0.25">
      <c r="A32" s="107">
        <f t="shared" si="0"/>
        <v>27</v>
      </c>
      <c r="B32" s="105">
        <v>2048</v>
      </c>
      <c r="C32" s="87">
        <f>C31+C31*'%_CO_CI_CP'!C32</f>
        <v>7243809.7565565463</v>
      </c>
    </row>
    <row r="33" spans="1:3" x14ac:dyDescent="0.25">
      <c r="A33" s="106">
        <f t="shared" si="0"/>
        <v>28</v>
      </c>
      <c r="B33" s="104">
        <v>2049</v>
      </c>
      <c r="C33" s="86">
        <f>C32+C32*'%_CO_CI_CP'!C33</f>
        <v>7240702.8057152536</v>
      </c>
    </row>
    <row r="34" spans="1:3" x14ac:dyDescent="0.25">
      <c r="A34" s="107">
        <f t="shared" si="0"/>
        <v>29</v>
      </c>
      <c r="B34" s="105">
        <v>2050</v>
      </c>
      <c r="C34" s="87">
        <f>C33+C33*'%_CO_CI_CP'!C34</f>
        <v>7235819.9307443378</v>
      </c>
    </row>
    <row r="35" spans="1:3" x14ac:dyDescent="0.25">
      <c r="A35" s="106">
        <f t="shared" si="0"/>
        <v>30</v>
      </c>
      <c r="B35" s="104">
        <v>2051</v>
      </c>
      <c r="C35" s="86">
        <f>C34+C34*'%_CO_CI_CP'!C35</f>
        <v>7229168.928686942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081C0-EABF-4362-B11A-83EFDC8C62BF}">
  <dimension ref="A1:L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5" customWidth="1"/>
    <col min="8" max="8" width="12.42578125" customWidth="1"/>
    <col min="9" max="9" width="11.7109375" customWidth="1"/>
  </cols>
  <sheetData>
    <row r="1" spans="1:12" x14ac:dyDescent="0.25">
      <c r="A1" s="78" t="s">
        <v>292</v>
      </c>
      <c r="B1" s="174"/>
      <c r="C1" s="78" t="s">
        <v>549</v>
      </c>
    </row>
    <row r="2" spans="1:12" x14ac:dyDescent="0.25">
      <c r="B2" s="151"/>
    </row>
    <row r="4" spans="1:12" ht="25.5" x14ac:dyDescent="0.25">
      <c r="A4" s="108" t="s">
        <v>360</v>
      </c>
      <c r="B4" s="108" t="s">
        <v>30</v>
      </c>
      <c r="C4" s="108" t="s">
        <v>316</v>
      </c>
      <c r="D4" s="108" t="s">
        <v>19</v>
      </c>
      <c r="E4" s="108" t="s">
        <v>293</v>
      </c>
    </row>
    <row r="5" spans="1:12" x14ac:dyDescent="0.25">
      <c r="A5" s="106">
        <v>0</v>
      </c>
      <c r="B5" s="104">
        <v>2021</v>
      </c>
      <c r="C5" s="86">
        <f>'Tabela 17'!C18+'Tabela 17'!C18*'%_CO_CI_CP'!C5</f>
        <v>371649</v>
      </c>
      <c r="D5" s="86">
        <f>'Tabela 17'!C18+'Tabela 17'!C18*'%_CO_CI_CP'!C5</f>
        <v>371649</v>
      </c>
      <c r="E5" s="86">
        <f>C5+D5</f>
        <v>743298</v>
      </c>
      <c r="F5" s="5"/>
    </row>
    <row r="6" spans="1:12" x14ac:dyDescent="0.25">
      <c r="A6" s="107">
        <f>A5+1</f>
        <v>1</v>
      </c>
      <c r="B6" s="105">
        <v>2022</v>
      </c>
      <c r="C6" s="87">
        <f>C5+C5*'%_CO_CI_CP'!C6</f>
        <v>390231.45</v>
      </c>
      <c r="D6" s="87">
        <f>D5+D5*'%_CO_CI_CP'!C6</f>
        <v>390231.45</v>
      </c>
      <c r="E6" s="87">
        <f>C6+D6</f>
        <v>780462.9</v>
      </c>
      <c r="F6" s="5"/>
      <c r="J6" s="5"/>
      <c r="K6" s="5"/>
      <c r="L6" s="5"/>
    </row>
    <row r="7" spans="1:12" x14ac:dyDescent="0.25">
      <c r="A7" s="106">
        <f t="shared" ref="A7:A35" si="0">A6+1</f>
        <v>2</v>
      </c>
      <c r="B7" s="104">
        <v>2023</v>
      </c>
      <c r="C7" s="86">
        <f>C6+C6*'%_CO_CI_CP'!C7</f>
        <v>419498.80875000003</v>
      </c>
      <c r="D7" s="86">
        <f>D6+D6*'%_CO_CI_CP'!C7</f>
        <v>419498.80875000003</v>
      </c>
      <c r="E7" s="111">
        <f t="shared" ref="E7:E35" si="1">C7+D7</f>
        <v>838997.61750000005</v>
      </c>
      <c r="G7" s="5"/>
      <c r="H7" s="5"/>
      <c r="I7" s="5"/>
      <c r="J7" s="5"/>
      <c r="K7" s="5"/>
      <c r="L7" s="5"/>
    </row>
    <row r="8" spans="1:12" x14ac:dyDescent="0.25">
      <c r="A8" s="107">
        <f t="shared" si="0"/>
        <v>3</v>
      </c>
      <c r="B8" s="105">
        <v>2024</v>
      </c>
      <c r="C8" s="87">
        <f>C7+C7*'%_CO_CI_CP'!C8</f>
        <v>461448.689625</v>
      </c>
      <c r="D8" s="87">
        <f>D7+D7*'%_CO_CI_CP'!C8</f>
        <v>461448.689625</v>
      </c>
      <c r="E8" s="87">
        <f t="shared" si="1"/>
        <v>922897.37925</v>
      </c>
      <c r="G8" s="5"/>
      <c r="H8" s="5"/>
      <c r="I8" s="5"/>
      <c r="J8" s="5"/>
      <c r="K8" s="5"/>
      <c r="L8" s="5"/>
    </row>
    <row r="9" spans="1:12" x14ac:dyDescent="0.25">
      <c r="A9" s="106">
        <f t="shared" si="0"/>
        <v>4</v>
      </c>
      <c r="B9" s="104">
        <v>2025</v>
      </c>
      <c r="C9" s="86">
        <f>C8+C8*'%_CO_CI_CP'!C9</f>
        <v>519129.77582812501</v>
      </c>
      <c r="D9" s="86">
        <f>D8+D8*'%_CO_CI_CP'!C9</f>
        <v>519129.77582812501</v>
      </c>
      <c r="E9" s="86">
        <f t="shared" si="1"/>
        <v>1038259.55165625</v>
      </c>
    </row>
    <row r="10" spans="1:12" x14ac:dyDescent="0.25">
      <c r="A10" s="107">
        <f t="shared" si="0"/>
        <v>5</v>
      </c>
      <c r="B10" s="105">
        <v>2026</v>
      </c>
      <c r="C10" s="87">
        <f>C9+C9*'%_CO_CI_CP'!C10</f>
        <v>596999.24220234377</v>
      </c>
      <c r="D10" s="87">
        <f>D9+D9*'%_CO_CI_CP'!C10</f>
        <v>596999.24220234377</v>
      </c>
      <c r="E10" s="87">
        <f t="shared" si="1"/>
        <v>1193998.4844046875</v>
      </c>
    </row>
    <row r="11" spans="1:12" x14ac:dyDescent="0.25">
      <c r="A11" s="106">
        <f t="shared" si="0"/>
        <v>6</v>
      </c>
      <c r="B11" s="104">
        <v>2027</v>
      </c>
      <c r="C11" s="86">
        <f>C10+C10*'%_CO_CI_CP'!C11</f>
        <v>701474.10958775389</v>
      </c>
      <c r="D11" s="86">
        <f>D10+D10*'%_CO_CI_CP'!C11</f>
        <v>701474.10958775389</v>
      </c>
      <c r="E11" s="86">
        <f t="shared" si="1"/>
        <v>1402948.2191755078</v>
      </c>
    </row>
    <row r="12" spans="1:12" x14ac:dyDescent="0.25">
      <c r="A12" s="107">
        <f t="shared" si="0"/>
        <v>7</v>
      </c>
      <c r="B12" s="105">
        <v>2028</v>
      </c>
      <c r="C12" s="87">
        <f>C11+C11*'%_CO_CI_CP'!C12</f>
        <v>841768.93150530464</v>
      </c>
      <c r="D12" s="87">
        <f>D11+D11*'%_CO_CI_CP'!C12</f>
        <v>841768.93150530464</v>
      </c>
      <c r="E12" s="87">
        <f t="shared" si="1"/>
        <v>1683537.8630106093</v>
      </c>
    </row>
    <row r="13" spans="1:12" x14ac:dyDescent="0.25">
      <c r="A13" s="106">
        <f t="shared" si="0"/>
        <v>8</v>
      </c>
      <c r="B13" s="104">
        <v>2029</v>
      </c>
      <c r="C13" s="86">
        <f>C12+C12*'%_CO_CI_CP'!C13</f>
        <v>854395.46547788417</v>
      </c>
      <c r="D13" s="86">
        <f>D12+D12*'%_CO_CI_CP'!C13</f>
        <v>854395.46547788417</v>
      </c>
      <c r="E13" s="86">
        <f t="shared" si="1"/>
        <v>1708790.9309557683</v>
      </c>
    </row>
    <row r="14" spans="1:12" x14ac:dyDescent="0.25">
      <c r="A14" s="107">
        <f t="shared" si="0"/>
        <v>9</v>
      </c>
      <c r="B14" s="105">
        <v>2030</v>
      </c>
      <c r="C14" s="87">
        <f>C13+C13*'%_CO_CI_CP'!C14</f>
        <v>867211.39746005239</v>
      </c>
      <c r="D14" s="87">
        <f>D13+D13*'%_CO_CI_CP'!C14</f>
        <v>867211.39746005239</v>
      </c>
      <c r="E14" s="87">
        <f t="shared" si="1"/>
        <v>1734422.7949201048</v>
      </c>
    </row>
    <row r="15" spans="1:12" x14ac:dyDescent="0.25">
      <c r="A15" s="106">
        <f t="shared" si="0"/>
        <v>10</v>
      </c>
      <c r="B15" s="104">
        <v>2031</v>
      </c>
      <c r="C15" s="86">
        <f>C14+C14*'%_CO_CI_CP'!C15</f>
        <v>880219.56842195312</v>
      </c>
      <c r="D15" s="86">
        <f>D14+D14*'%_CO_CI_CP'!C15</f>
        <v>880219.56842195312</v>
      </c>
      <c r="E15" s="86">
        <f t="shared" si="1"/>
        <v>1760439.1368439062</v>
      </c>
    </row>
    <row r="16" spans="1:12" x14ac:dyDescent="0.25">
      <c r="A16" s="107">
        <f t="shared" si="0"/>
        <v>11</v>
      </c>
      <c r="B16" s="105">
        <v>2032</v>
      </c>
      <c r="C16" s="87">
        <f>C15+C15*'%_CO_CI_CP'!C16</f>
        <v>893422.86194828246</v>
      </c>
      <c r="D16" s="87">
        <f>D15+D15*'%_CO_CI_CP'!C16</f>
        <v>893422.86194828246</v>
      </c>
      <c r="E16" s="87">
        <f t="shared" si="1"/>
        <v>1786845.7238965649</v>
      </c>
    </row>
    <row r="17" spans="1:5" x14ac:dyDescent="0.25">
      <c r="A17" s="106">
        <f t="shared" si="0"/>
        <v>12</v>
      </c>
      <c r="B17" s="104">
        <v>2033</v>
      </c>
      <c r="C17" s="86">
        <f>C16+C16*'%_CO_CI_CP'!C17</f>
        <v>906824.20487750671</v>
      </c>
      <c r="D17" s="86">
        <f>D16+D16*'%_CO_CI_CP'!C17</f>
        <v>906824.20487750671</v>
      </c>
      <c r="E17" s="86">
        <f t="shared" si="1"/>
        <v>1813648.4097550134</v>
      </c>
    </row>
    <row r="18" spans="1:5" x14ac:dyDescent="0.25">
      <c r="A18" s="107">
        <f t="shared" si="0"/>
        <v>13</v>
      </c>
      <c r="B18" s="105">
        <v>2034</v>
      </c>
      <c r="C18" s="87">
        <f>C17+C17*'%_CO_CI_CP'!C18</f>
        <v>920426.56795066933</v>
      </c>
      <c r="D18" s="87">
        <f>D17+D17*'%_CO_CI_CP'!C18</f>
        <v>920426.56795066933</v>
      </c>
      <c r="E18" s="87">
        <f t="shared" si="1"/>
        <v>1840853.1359013387</v>
      </c>
    </row>
    <row r="19" spans="1:5" x14ac:dyDescent="0.25">
      <c r="A19" s="106">
        <f t="shared" si="0"/>
        <v>14</v>
      </c>
      <c r="B19" s="104">
        <v>2035</v>
      </c>
      <c r="C19" s="86">
        <f>C18+C18*'%_CO_CI_CP'!C19</f>
        <v>934232.96646992932</v>
      </c>
      <c r="D19" s="86">
        <f>D18+D18*'%_CO_CI_CP'!C19</f>
        <v>934232.96646992932</v>
      </c>
      <c r="E19" s="86">
        <f t="shared" si="1"/>
        <v>1868465.9329398586</v>
      </c>
    </row>
    <row r="20" spans="1:5" x14ac:dyDescent="0.25">
      <c r="A20" s="107">
        <f t="shared" si="0"/>
        <v>15</v>
      </c>
      <c r="B20" s="105">
        <v>2036</v>
      </c>
      <c r="C20" s="87">
        <f>C19+C19*'%_CO_CI_CP'!C20</f>
        <v>948246.46096697822</v>
      </c>
      <c r="D20" s="87">
        <f>D19+D19*'%_CO_CI_CP'!C20</f>
        <v>948246.46096697822</v>
      </c>
      <c r="E20" s="87">
        <f t="shared" si="1"/>
        <v>1896492.9219339564</v>
      </c>
    </row>
    <row r="21" spans="1:5" x14ac:dyDescent="0.25">
      <c r="A21" s="106">
        <f t="shared" si="0"/>
        <v>16</v>
      </c>
      <c r="B21" s="104">
        <v>2037</v>
      </c>
      <c r="C21" s="86">
        <f>C20+C20*'%_CO_CI_CP'!C21</f>
        <v>962470.15788148285</v>
      </c>
      <c r="D21" s="86">
        <f>D20+D20*'%_CO_CI_CP'!C21</f>
        <v>962470.15788148285</v>
      </c>
      <c r="E21" s="86">
        <f t="shared" si="1"/>
        <v>1924940.3157629657</v>
      </c>
    </row>
    <row r="22" spans="1:5" x14ac:dyDescent="0.25">
      <c r="A22" s="107">
        <f t="shared" si="0"/>
        <v>17</v>
      </c>
      <c r="B22" s="105">
        <v>2038</v>
      </c>
      <c r="C22" s="87">
        <f>C21+C21*'%_CO_CI_CP'!C22</f>
        <v>976907.21024970512</v>
      </c>
      <c r="D22" s="87">
        <f>D21+D21*'%_CO_CI_CP'!C22</f>
        <v>976907.21024970512</v>
      </c>
      <c r="E22" s="87">
        <f t="shared" si="1"/>
        <v>1953814.4204994102</v>
      </c>
    </row>
    <row r="23" spans="1:5" x14ac:dyDescent="0.25">
      <c r="A23" s="106">
        <f t="shared" si="0"/>
        <v>18</v>
      </c>
      <c r="B23" s="104">
        <v>2039</v>
      </c>
      <c r="C23" s="86">
        <f>C22+C22*'%_CO_CI_CP'!C23</f>
        <v>978965.74580020225</v>
      </c>
      <c r="D23" s="86">
        <f>D22+D22*'%_CO_CI_CP'!C23</f>
        <v>978965.74580020225</v>
      </c>
      <c r="E23" s="86">
        <f t="shared" si="1"/>
        <v>1957931.4916004045</v>
      </c>
    </row>
    <row r="24" spans="1:5" x14ac:dyDescent="0.25">
      <c r="A24" s="107">
        <f t="shared" si="0"/>
        <v>19</v>
      </c>
      <c r="B24" s="105">
        <v>2040</v>
      </c>
      <c r="C24" s="87">
        <f>C23+C23*'%_CO_CI_CP'!C24</f>
        <v>980764.17492436536</v>
      </c>
      <c r="D24" s="87">
        <f>D23+D23*'%_CO_CI_CP'!C24</f>
        <v>980764.17492436536</v>
      </c>
      <c r="E24" s="87">
        <f t="shared" si="1"/>
        <v>1961528.3498487307</v>
      </c>
    </row>
    <row r="25" spans="1:5" x14ac:dyDescent="0.25">
      <c r="A25" s="106">
        <f t="shared" si="0"/>
        <v>20</v>
      </c>
      <c r="B25" s="104">
        <v>2041</v>
      </c>
      <c r="C25" s="86">
        <f>C24+C24*'%_CO_CI_CP'!C25</f>
        <v>982304.80659692548</v>
      </c>
      <c r="D25" s="86">
        <f>D24+D24*'%_CO_CI_CP'!C25</f>
        <v>982304.80659692548</v>
      </c>
      <c r="E25" s="86">
        <f t="shared" si="1"/>
        <v>1964609.613193851</v>
      </c>
    </row>
    <row r="26" spans="1:5" x14ac:dyDescent="0.25">
      <c r="A26" s="107">
        <f t="shared" si="0"/>
        <v>21</v>
      </c>
      <c r="B26" s="105">
        <v>2042</v>
      </c>
      <c r="C26" s="87">
        <f>C25+C25*'%_CO_CI_CP'!C26</f>
        <v>983591.85702265694</v>
      </c>
      <c r="D26" s="87">
        <f>D25+D25*'%_CO_CI_CP'!C26</f>
        <v>983591.85702265694</v>
      </c>
      <c r="E26" s="87">
        <f t="shared" si="1"/>
        <v>1967183.7140453139</v>
      </c>
    </row>
    <row r="27" spans="1:5" x14ac:dyDescent="0.25">
      <c r="A27" s="106">
        <f t="shared" si="0"/>
        <v>22</v>
      </c>
      <c r="B27" s="104">
        <v>2043</v>
      </c>
      <c r="C27" s="86">
        <f>C26+C26*'%_CO_CI_CP'!C27</f>
        <v>984629.98643993621</v>
      </c>
      <c r="D27" s="86">
        <f>D26+D26*'%_CO_CI_CP'!C27</f>
        <v>984629.98643993621</v>
      </c>
      <c r="E27" s="86">
        <f t="shared" si="1"/>
        <v>1969259.9728798724</v>
      </c>
    </row>
    <row r="28" spans="1:5" x14ac:dyDescent="0.25">
      <c r="A28" s="107">
        <f t="shared" si="0"/>
        <v>23</v>
      </c>
      <c r="B28" s="105">
        <v>2044</v>
      </c>
      <c r="C28" s="87">
        <f>C27+C27*'%_CO_CI_CP'!C28</f>
        <v>985420.49734732939</v>
      </c>
      <c r="D28" s="87">
        <f>D27+D27*'%_CO_CI_CP'!C28</f>
        <v>985420.49734732939</v>
      </c>
      <c r="E28" s="87">
        <f t="shared" si="1"/>
        <v>1970840.9946946588</v>
      </c>
    </row>
    <row r="29" spans="1:5" x14ac:dyDescent="0.25">
      <c r="A29" s="106">
        <f t="shared" si="0"/>
        <v>24</v>
      </c>
      <c r="B29" s="104">
        <v>2045</v>
      </c>
      <c r="C29" s="86">
        <f>C28+C28*'%_CO_CI_CP'!C29</f>
        <v>985964.45542548166</v>
      </c>
      <c r="D29" s="86">
        <f>D28+D28*'%_CO_CI_CP'!C29</f>
        <v>985964.45542548166</v>
      </c>
      <c r="E29" s="86">
        <f t="shared" si="1"/>
        <v>1971928.9108509633</v>
      </c>
    </row>
    <row r="30" spans="1:5" x14ac:dyDescent="0.25">
      <c r="A30" s="107">
        <f t="shared" si="0"/>
        <v>25</v>
      </c>
      <c r="B30" s="105">
        <v>2046</v>
      </c>
      <c r="C30" s="87">
        <f>C29+C29*'%_CO_CI_CP'!C30</f>
        <v>986263.15048628487</v>
      </c>
      <c r="D30" s="87">
        <f>D29+D29*'%_CO_CI_CP'!C30</f>
        <v>986263.15048628487</v>
      </c>
      <c r="E30" s="87">
        <f t="shared" si="1"/>
        <v>1972526.3009725697</v>
      </c>
    </row>
    <row r="31" spans="1:5" x14ac:dyDescent="0.25">
      <c r="A31" s="106">
        <f t="shared" si="0"/>
        <v>26</v>
      </c>
      <c r="B31" s="104">
        <v>2047</v>
      </c>
      <c r="C31" s="86">
        <f>C30+C30*'%_CO_CI_CP'!C31</f>
        <v>986319.87260728597</v>
      </c>
      <c r="D31" s="86">
        <f>D30+D30*'%_CO_CI_CP'!C31</f>
        <v>986319.87260728597</v>
      </c>
      <c r="E31" s="86">
        <f t="shared" si="1"/>
        <v>1972639.7452145719</v>
      </c>
    </row>
    <row r="32" spans="1:5" x14ac:dyDescent="0.25">
      <c r="A32" s="107">
        <f t="shared" si="0"/>
        <v>27</v>
      </c>
      <c r="B32" s="105">
        <v>2048</v>
      </c>
      <c r="C32" s="87">
        <f>C31+C31*'%_CO_CI_CP'!C32</f>
        <v>986137.23524340033</v>
      </c>
      <c r="D32" s="87">
        <f>D31+D31*'%_CO_CI_CP'!C32</f>
        <v>986137.23524340033</v>
      </c>
      <c r="E32" s="87">
        <f t="shared" si="1"/>
        <v>1972274.4704868007</v>
      </c>
    </row>
    <row r="33" spans="1:5" x14ac:dyDescent="0.25">
      <c r="A33" s="106">
        <f t="shared" si="0"/>
        <v>28</v>
      </c>
      <c r="B33" s="104">
        <v>2049</v>
      </c>
      <c r="C33" s="86">
        <f>C32+C32*'%_CO_CI_CP'!C33</f>
        <v>985714.26997848623</v>
      </c>
      <c r="D33" s="86">
        <f>D32+D32*'%_CO_CI_CP'!C33</f>
        <v>985714.26997848623</v>
      </c>
      <c r="E33" s="86">
        <f t="shared" si="1"/>
        <v>1971428.5399569725</v>
      </c>
    </row>
    <row r="34" spans="1:5" x14ac:dyDescent="0.25">
      <c r="A34" s="107">
        <f t="shared" si="0"/>
        <v>29</v>
      </c>
      <c r="B34" s="105">
        <v>2050</v>
      </c>
      <c r="C34" s="87">
        <f>C33+C33*'%_CO_CI_CP'!C34</f>
        <v>985049.53898945113</v>
      </c>
      <c r="D34" s="87">
        <f>D33+D33*'%_CO_CI_CP'!C34</f>
        <v>985049.53898945113</v>
      </c>
      <c r="E34" s="87">
        <f t="shared" si="1"/>
        <v>1970099.0779789023</v>
      </c>
    </row>
    <row r="35" spans="1:5" x14ac:dyDescent="0.25">
      <c r="A35" s="106">
        <f t="shared" si="0"/>
        <v>30</v>
      </c>
      <c r="B35" s="104">
        <v>2051</v>
      </c>
      <c r="C35" s="86">
        <f>C34+C34*'%_CO_CI_CP'!C35</f>
        <v>984144.10372804862</v>
      </c>
      <c r="D35" s="86">
        <f>D34+D34*'%_CO_CI_CP'!C35</f>
        <v>984144.10372804862</v>
      </c>
      <c r="E35" s="86">
        <f t="shared" si="1"/>
        <v>1968288.2074560972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1B569-4494-4240-9669-10713C9AEFD1}">
  <dimension ref="A1:M35"/>
  <sheetViews>
    <sheetView workbookViewId="0">
      <selection activeCell="N1" sqref="N1"/>
    </sheetView>
  </sheetViews>
  <sheetFormatPr defaultRowHeight="15" x14ac:dyDescent="0.25"/>
  <cols>
    <col min="2" max="2" width="13.5703125" bestFit="1" customWidth="1"/>
    <col min="3" max="3" width="17.42578125" customWidth="1"/>
    <col min="4" max="4" width="14.42578125" bestFit="1" customWidth="1"/>
    <col min="5" max="5" width="14.42578125" customWidth="1"/>
    <col min="6" max="6" width="15" customWidth="1"/>
    <col min="9" max="9" width="12.42578125" customWidth="1"/>
    <col min="10" max="10" width="11.7109375" customWidth="1"/>
  </cols>
  <sheetData>
    <row r="1" spans="1:13" x14ac:dyDescent="0.25">
      <c r="A1" s="78" t="s">
        <v>292</v>
      </c>
      <c r="B1" s="174"/>
      <c r="C1" s="78" t="s">
        <v>550</v>
      </c>
    </row>
    <row r="2" spans="1:13" x14ac:dyDescent="0.25">
      <c r="B2" s="151"/>
    </row>
    <row r="4" spans="1:13" ht="25.5" x14ac:dyDescent="0.25">
      <c r="A4" s="108" t="s">
        <v>360</v>
      </c>
      <c r="B4" s="108" t="s">
        <v>30</v>
      </c>
      <c r="C4" s="108" t="s">
        <v>23</v>
      </c>
      <c r="D4" s="108" t="s">
        <v>24</v>
      </c>
      <c r="E4" s="108" t="s">
        <v>314</v>
      </c>
      <c r="F4" s="108" t="s">
        <v>293</v>
      </c>
    </row>
    <row r="5" spans="1:13" x14ac:dyDescent="0.25">
      <c r="A5" s="106">
        <v>0</v>
      </c>
      <c r="B5" s="104">
        <v>2021</v>
      </c>
      <c r="C5" s="86">
        <f>'Tabela 17'!F18+'Tabela 17'!F18*'%_CO_CI_CP'!C5</f>
        <v>101358</v>
      </c>
      <c r="D5" s="86">
        <f>'Tabela 17'!G18+'Tabela 17'!G18*'%_CO_CI_CP'!C5</f>
        <v>37220</v>
      </c>
      <c r="E5" s="86">
        <f>'Tabela 17'!H18+'Tabela 17'!H18*'%_CO_CI_CP'!C5</f>
        <v>430790</v>
      </c>
      <c r="F5" s="86">
        <f>C5+D5+E5</f>
        <v>569368</v>
      </c>
      <c r="G5" s="5"/>
    </row>
    <row r="6" spans="1:13" x14ac:dyDescent="0.25">
      <c r="A6" s="107">
        <f>A5+1</f>
        <v>1</v>
      </c>
      <c r="B6" s="105">
        <v>2022</v>
      </c>
      <c r="C6" s="87">
        <f>C5+C5*'%_CO_CI_CP'!C6</f>
        <v>106425.9</v>
      </c>
      <c r="D6" s="87">
        <f>D5+D5*'%_CO_CI_CP'!C6</f>
        <v>39081</v>
      </c>
      <c r="E6" s="87">
        <f>E5+E5*'%_CO_CI_CP'!C6</f>
        <v>452329.5</v>
      </c>
      <c r="F6" s="87">
        <f t="shared" ref="F6:F35" si="0">C6+D6+E6</f>
        <v>597836.4</v>
      </c>
      <c r="G6" s="5"/>
      <c r="K6" s="5"/>
      <c r="L6" s="5"/>
      <c r="M6" s="5"/>
    </row>
    <row r="7" spans="1:13" x14ac:dyDescent="0.25">
      <c r="A7" s="106">
        <f t="shared" ref="A7:A35" si="1">A6+1</f>
        <v>2</v>
      </c>
      <c r="B7" s="104">
        <v>2023</v>
      </c>
      <c r="C7" s="86">
        <f>C6+C6*'%_CO_CI_CP'!C7</f>
        <v>114407.8425</v>
      </c>
      <c r="D7" s="86">
        <f>D6+D6*'%_CO_CI_CP'!C7</f>
        <v>42012.074999999997</v>
      </c>
      <c r="E7" s="86">
        <f>E6+E6*'%_CO_CI_CP'!C7</f>
        <v>486254.21250000002</v>
      </c>
      <c r="F7" s="111">
        <f t="shared" si="0"/>
        <v>642674.13</v>
      </c>
      <c r="H7" s="5"/>
      <c r="I7" s="5"/>
      <c r="J7" s="5"/>
      <c r="K7" s="5"/>
      <c r="L7" s="5"/>
      <c r="M7" s="5"/>
    </row>
    <row r="8" spans="1:13" x14ac:dyDescent="0.25">
      <c r="A8" s="107">
        <f t="shared" si="1"/>
        <v>3</v>
      </c>
      <c r="B8" s="105">
        <v>2024</v>
      </c>
      <c r="C8" s="87">
        <f>C7+C7*'%_CO_CI_CP'!C8</f>
        <v>125848.62675</v>
      </c>
      <c r="D8" s="87">
        <f>D7+D7*'%_CO_CI_CP'!C8</f>
        <v>46213.282499999994</v>
      </c>
      <c r="E8" s="87">
        <f>E7+E7*'%_CO_CI_CP'!C8</f>
        <v>534879.63375000004</v>
      </c>
      <c r="F8" s="87">
        <f t="shared" si="0"/>
        <v>706941.54300000006</v>
      </c>
      <c r="H8" s="5"/>
      <c r="I8" s="5"/>
      <c r="J8" s="5"/>
      <c r="K8" s="5"/>
      <c r="L8" s="5"/>
      <c r="M8" s="5"/>
    </row>
    <row r="9" spans="1:13" x14ac:dyDescent="0.25">
      <c r="A9" s="106">
        <f t="shared" si="1"/>
        <v>4</v>
      </c>
      <c r="B9" s="104">
        <v>2025</v>
      </c>
      <c r="C9" s="86">
        <f>C8+C8*'%_CO_CI_CP'!C9</f>
        <v>141579.70509375</v>
      </c>
      <c r="D9" s="86">
        <f>D8+D8*'%_CO_CI_CP'!C9</f>
        <v>51989.94281249999</v>
      </c>
      <c r="E9" s="86">
        <f>E8+E8*'%_CO_CI_CP'!C9</f>
        <v>601739.58796875004</v>
      </c>
      <c r="F9" s="86">
        <f t="shared" si="0"/>
        <v>795309.23587500001</v>
      </c>
    </row>
    <row r="10" spans="1:13" x14ac:dyDescent="0.25">
      <c r="A10" s="107">
        <f t="shared" si="1"/>
        <v>5</v>
      </c>
      <c r="B10" s="105">
        <v>2026</v>
      </c>
      <c r="C10" s="87">
        <f>C9+C9*'%_CO_CI_CP'!C10</f>
        <v>162816.6608578125</v>
      </c>
      <c r="D10" s="87">
        <f>D9+D9*'%_CO_CI_CP'!C10</f>
        <v>59788.434234374989</v>
      </c>
      <c r="E10" s="87">
        <f>E9+E9*'%_CO_CI_CP'!C10</f>
        <v>692000.52616406255</v>
      </c>
      <c r="F10" s="87">
        <f t="shared" si="0"/>
        <v>914605.62125625007</v>
      </c>
    </row>
    <row r="11" spans="1:13" x14ac:dyDescent="0.25">
      <c r="A11" s="106">
        <f t="shared" si="1"/>
        <v>6</v>
      </c>
      <c r="B11" s="104">
        <v>2027</v>
      </c>
      <c r="C11" s="86">
        <f>C10+C10*'%_CO_CI_CP'!C11</f>
        <v>191309.57650792968</v>
      </c>
      <c r="D11" s="86">
        <f>D10+D10*'%_CO_CI_CP'!C11</f>
        <v>70251.410225390617</v>
      </c>
      <c r="E11" s="86">
        <f>E10+E10*'%_CO_CI_CP'!C11</f>
        <v>813100.61824277346</v>
      </c>
      <c r="F11" s="86">
        <f t="shared" si="0"/>
        <v>1074661.6049760939</v>
      </c>
    </row>
    <row r="12" spans="1:13" x14ac:dyDescent="0.25">
      <c r="A12" s="107">
        <f t="shared" si="1"/>
        <v>7</v>
      </c>
      <c r="B12" s="105">
        <v>2028</v>
      </c>
      <c r="C12" s="87">
        <f>C11+C11*'%_CO_CI_CP'!C12</f>
        <v>229571.49180951563</v>
      </c>
      <c r="D12" s="87">
        <f>D11+D11*'%_CO_CI_CP'!C12</f>
        <v>84301.692270468746</v>
      </c>
      <c r="E12" s="87">
        <f>E11+E11*'%_CO_CI_CP'!C12</f>
        <v>975720.74189132813</v>
      </c>
      <c r="F12" s="87">
        <f t="shared" si="0"/>
        <v>1289593.9259713124</v>
      </c>
    </row>
    <row r="13" spans="1:13" x14ac:dyDescent="0.25">
      <c r="A13" s="106">
        <f t="shared" si="1"/>
        <v>8</v>
      </c>
      <c r="B13" s="104">
        <v>2029</v>
      </c>
      <c r="C13" s="86">
        <f>C12+C12*'%_CO_CI_CP'!C13</f>
        <v>233015.06418665836</v>
      </c>
      <c r="D13" s="86">
        <f>D12+D12*'%_CO_CI_CP'!C13</f>
        <v>85566.217654525783</v>
      </c>
      <c r="E13" s="86">
        <f>E12+E12*'%_CO_CI_CP'!C13</f>
        <v>990356.55301969801</v>
      </c>
      <c r="F13" s="86">
        <f t="shared" si="0"/>
        <v>1308937.8348608823</v>
      </c>
    </row>
    <row r="14" spans="1:13" x14ac:dyDescent="0.25">
      <c r="A14" s="107">
        <f t="shared" si="1"/>
        <v>9</v>
      </c>
      <c r="B14" s="105">
        <v>2030</v>
      </c>
      <c r="C14" s="87">
        <f>C13+C13*'%_CO_CI_CP'!C14</f>
        <v>236510.29014945825</v>
      </c>
      <c r="D14" s="87">
        <f>D13+D13*'%_CO_CI_CP'!C14</f>
        <v>86849.710919343663</v>
      </c>
      <c r="E14" s="87">
        <f>E13+E13*'%_CO_CI_CP'!C14</f>
        <v>1005211.9013149935</v>
      </c>
      <c r="F14" s="87">
        <f t="shared" si="0"/>
        <v>1328571.9023837955</v>
      </c>
    </row>
    <row r="15" spans="1:13" x14ac:dyDescent="0.25">
      <c r="A15" s="106">
        <f t="shared" si="1"/>
        <v>10</v>
      </c>
      <c r="B15" s="104">
        <v>2031</v>
      </c>
      <c r="C15" s="86">
        <f>C14+C14*'%_CO_CI_CP'!C15</f>
        <v>240057.94450170011</v>
      </c>
      <c r="D15" s="86">
        <f>D14+D14*'%_CO_CI_CP'!C15</f>
        <v>88152.456583133811</v>
      </c>
      <c r="E15" s="86">
        <f>E14+E14*'%_CO_CI_CP'!C15</f>
        <v>1020290.0798347184</v>
      </c>
      <c r="F15" s="86">
        <f t="shared" si="0"/>
        <v>1348500.4809195523</v>
      </c>
    </row>
    <row r="16" spans="1:13" x14ac:dyDescent="0.25">
      <c r="A16" s="107">
        <f t="shared" si="1"/>
        <v>11</v>
      </c>
      <c r="B16" s="105">
        <v>2032</v>
      </c>
      <c r="C16" s="87">
        <f>C15+C15*'%_CO_CI_CP'!C16</f>
        <v>243658.81366922561</v>
      </c>
      <c r="D16" s="87">
        <f>D15+D15*'%_CO_CI_CP'!C16</f>
        <v>89474.743431880823</v>
      </c>
      <c r="E16" s="87">
        <f>E15+E15*'%_CO_CI_CP'!C16</f>
        <v>1035594.4310322391</v>
      </c>
      <c r="F16" s="87">
        <f t="shared" si="0"/>
        <v>1368727.9881333455</v>
      </c>
    </row>
    <row r="17" spans="1:6" x14ac:dyDescent="0.25">
      <c r="A17" s="106">
        <f t="shared" si="1"/>
        <v>12</v>
      </c>
      <c r="B17" s="104">
        <v>2033</v>
      </c>
      <c r="C17" s="86">
        <f>C16+C16*'%_CO_CI_CP'!C17</f>
        <v>247313.695874264</v>
      </c>
      <c r="D17" s="86">
        <f>D16+D16*'%_CO_CI_CP'!C17</f>
        <v>90816.864583359042</v>
      </c>
      <c r="E17" s="86">
        <f>E16+E16*'%_CO_CI_CP'!C17</f>
        <v>1051128.3474977226</v>
      </c>
      <c r="F17" s="86">
        <f t="shared" si="0"/>
        <v>1389258.9079553457</v>
      </c>
    </row>
    <row r="18" spans="1:6" x14ac:dyDescent="0.25">
      <c r="A18" s="107">
        <f t="shared" si="1"/>
        <v>13</v>
      </c>
      <c r="B18" s="105">
        <v>2034</v>
      </c>
      <c r="C18" s="87">
        <f>C17+C17*'%_CO_CI_CP'!C18</f>
        <v>251023.40131237794</v>
      </c>
      <c r="D18" s="87">
        <f>D17+D17*'%_CO_CI_CP'!C18</f>
        <v>92179.117552109426</v>
      </c>
      <c r="E18" s="87">
        <f>E17+E17*'%_CO_CI_CP'!C18</f>
        <v>1066895.2727101885</v>
      </c>
      <c r="F18" s="87">
        <f t="shared" si="0"/>
        <v>1410097.7915746758</v>
      </c>
    </row>
    <row r="19" spans="1:6" x14ac:dyDescent="0.25">
      <c r="A19" s="106">
        <f t="shared" si="1"/>
        <v>14</v>
      </c>
      <c r="B19" s="104">
        <v>2035</v>
      </c>
      <c r="C19" s="86">
        <f>C18+C18*'%_CO_CI_CP'!C19</f>
        <v>254788.75233206362</v>
      </c>
      <c r="D19" s="86">
        <f>D18+D18*'%_CO_CI_CP'!C19</f>
        <v>93561.804315391069</v>
      </c>
      <c r="E19" s="86">
        <f>E18+E18*'%_CO_CI_CP'!C19</f>
        <v>1082898.7018008414</v>
      </c>
      <c r="F19" s="86">
        <f t="shared" si="0"/>
        <v>1431249.258448296</v>
      </c>
    </row>
    <row r="20" spans="1:6" x14ac:dyDescent="0.25">
      <c r="A20" s="107">
        <f t="shared" si="1"/>
        <v>15</v>
      </c>
      <c r="B20" s="105">
        <v>2036</v>
      </c>
      <c r="C20" s="87">
        <f>C19+C19*'%_CO_CI_CP'!C20</f>
        <v>258610.58361704458</v>
      </c>
      <c r="D20" s="87">
        <f>D19+D19*'%_CO_CI_CP'!C20</f>
        <v>94965.231380121942</v>
      </c>
      <c r="E20" s="87">
        <f>E19+E19*'%_CO_CI_CP'!C20</f>
        <v>1099142.182327854</v>
      </c>
      <c r="F20" s="87">
        <f t="shared" si="0"/>
        <v>1452717.9973250204</v>
      </c>
    </row>
    <row r="21" spans="1:6" x14ac:dyDescent="0.25">
      <c r="A21" s="106">
        <f t="shared" si="1"/>
        <v>16</v>
      </c>
      <c r="B21" s="104">
        <v>2037</v>
      </c>
      <c r="C21" s="86">
        <f>C20+C20*'%_CO_CI_CP'!C21</f>
        <v>262489.74237130024</v>
      </c>
      <c r="D21" s="86">
        <f>D20+D20*'%_CO_CI_CP'!C21</f>
        <v>96389.709850823769</v>
      </c>
      <c r="E21" s="86">
        <f>E20+E20*'%_CO_CI_CP'!C21</f>
        <v>1115629.3150627718</v>
      </c>
      <c r="F21" s="86">
        <f t="shared" si="0"/>
        <v>1474508.7672848958</v>
      </c>
    </row>
    <row r="22" spans="1:6" x14ac:dyDescent="0.25">
      <c r="A22" s="107">
        <f t="shared" si="1"/>
        <v>17</v>
      </c>
      <c r="B22" s="105">
        <v>2038</v>
      </c>
      <c r="C22" s="87">
        <f>C21+C21*'%_CO_CI_CP'!C22</f>
        <v>266427.08850686974</v>
      </c>
      <c r="D22" s="87">
        <f>D21+D21*'%_CO_CI_CP'!C22</f>
        <v>97835.555498586124</v>
      </c>
      <c r="E22" s="87">
        <f>E21+E21*'%_CO_CI_CP'!C22</f>
        <v>1132363.7547887133</v>
      </c>
      <c r="F22" s="87">
        <f t="shared" si="0"/>
        <v>1496626.3987941691</v>
      </c>
    </row>
    <row r="23" spans="1:6" x14ac:dyDescent="0.25">
      <c r="A23" s="106">
        <f t="shared" si="1"/>
        <v>18</v>
      </c>
      <c r="B23" s="104">
        <v>2039</v>
      </c>
      <c r="C23" s="86">
        <f>C22+C22*'%_CO_CI_CP'!C23</f>
        <v>266988.50276152208</v>
      </c>
      <c r="D23" s="86">
        <f>D22+D22*'%_CO_CI_CP'!C23</f>
        <v>98041.714248345976</v>
      </c>
      <c r="E23" s="86">
        <f>E22+E22*'%_CO_CI_CP'!C23</f>
        <v>1134749.8678410789</v>
      </c>
      <c r="F23" s="86">
        <f t="shared" si="0"/>
        <v>1499780.0848509469</v>
      </c>
    </row>
    <row r="24" spans="1:6" x14ac:dyDescent="0.25">
      <c r="A24" s="107">
        <f t="shared" si="1"/>
        <v>19</v>
      </c>
      <c r="B24" s="105">
        <v>2040</v>
      </c>
      <c r="C24" s="87">
        <f>C23+C23*'%_CO_CI_CP'!C24</f>
        <v>267478.97947252338</v>
      </c>
      <c r="D24" s="87">
        <f>D23+D23*'%_CO_CI_CP'!C24</f>
        <v>98221.823792570096</v>
      </c>
      <c r="E24" s="87">
        <f>E23+E23*'%_CO_CI_CP'!C24</f>
        <v>1136834.4833853107</v>
      </c>
      <c r="F24" s="87">
        <f t="shared" si="0"/>
        <v>1502535.2866504043</v>
      </c>
    </row>
    <row r="25" spans="1:6" x14ac:dyDescent="0.25">
      <c r="A25" s="106">
        <f t="shared" si="1"/>
        <v>20</v>
      </c>
      <c r="B25" s="104">
        <v>2041</v>
      </c>
      <c r="C25" s="86">
        <f>C24+C24*'%_CO_CI_CP'!C25</f>
        <v>267899.14835517167</v>
      </c>
      <c r="D25" s="86">
        <f>D24+D24*'%_CO_CI_CP'!C25</f>
        <v>98376.115371055945</v>
      </c>
      <c r="E25" s="86">
        <f>E24+E24*'%_CO_CI_CP'!C25</f>
        <v>1138620.2778263618</v>
      </c>
      <c r="F25" s="86">
        <f t="shared" si="0"/>
        <v>1504895.5415525895</v>
      </c>
    </row>
    <row r="26" spans="1:6" x14ac:dyDescent="0.25">
      <c r="A26" s="107">
        <f t="shared" si="1"/>
        <v>21</v>
      </c>
      <c r="B26" s="105">
        <v>2042</v>
      </c>
      <c r="C26" s="87">
        <f>C25+C25*'%_CO_CI_CP'!C26</f>
        <v>268250.15927421435</v>
      </c>
      <c r="D26" s="87">
        <f>D25+D25*'%_CO_CI_CP'!C26</f>
        <v>98505.011229367752</v>
      </c>
      <c r="E26" s="87">
        <f>E25+E25*'%_CO_CI_CP'!C26</f>
        <v>1140112.1382992836</v>
      </c>
      <c r="F26" s="87">
        <f t="shared" si="0"/>
        <v>1506867.3088028657</v>
      </c>
    </row>
    <row r="27" spans="1:6" x14ac:dyDescent="0.25">
      <c r="A27" s="106">
        <f t="shared" si="1"/>
        <v>22</v>
      </c>
      <c r="B27" s="104">
        <v>2043</v>
      </c>
      <c r="C27" s="86">
        <f>C26+C26*'%_CO_CI_CP'!C27</f>
        <v>268533.2831934946</v>
      </c>
      <c r="D27" s="86">
        <f>D26+D26*'%_CO_CI_CP'!C27</f>
        <v>98608.978082261572</v>
      </c>
      <c r="E27" s="86">
        <f>E26+E26*'%_CO_CI_CP'!C27</f>
        <v>1141315.4666323874</v>
      </c>
      <c r="F27" s="86">
        <f t="shared" si="0"/>
        <v>1508457.7279081435</v>
      </c>
    </row>
    <row r="28" spans="1:6" x14ac:dyDescent="0.25">
      <c r="A28" s="107">
        <f t="shared" si="1"/>
        <v>23</v>
      </c>
      <c r="B28" s="105">
        <v>2044</v>
      </c>
      <c r="C28" s="87">
        <f>C27+C27*'%_CO_CI_CP'!C28</f>
        <v>268748.87533702672</v>
      </c>
      <c r="D28" s="87">
        <f>D27+D27*'%_CO_CI_CP'!C28</f>
        <v>98688.146372700066</v>
      </c>
      <c r="E28" s="87">
        <f>E27+E27*'%_CO_CI_CP'!C28</f>
        <v>1142231.7725925699</v>
      </c>
      <c r="F28" s="87">
        <f t="shared" si="0"/>
        <v>1509668.7943022968</v>
      </c>
    </row>
    <row r="29" spans="1:6" x14ac:dyDescent="0.25">
      <c r="A29" s="106">
        <f t="shared" si="1"/>
        <v>24</v>
      </c>
      <c r="B29" s="104">
        <v>2045</v>
      </c>
      <c r="C29" s="86">
        <f>C28+C28*'%_CO_CI_CP'!C29</f>
        <v>268897.22634264053</v>
      </c>
      <c r="D29" s="86">
        <f>D28+D28*'%_CO_CI_CP'!C29</f>
        <v>98742.622826743609</v>
      </c>
      <c r="E29" s="86">
        <f>E28+E28*'%_CO_CI_CP'!C29</f>
        <v>1142862.2914436557</v>
      </c>
      <c r="F29" s="86">
        <f t="shared" si="0"/>
        <v>1510502.14061304</v>
      </c>
    </row>
    <row r="30" spans="1:6" x14ac:dyDescent="0.25">
      <c r="A30" s="107">
        <f t="shared" si="1"/>
        <v>25</v>
      </c>
      <c r="B30" s="105">
        <v>2046</v>
      </c>
      <c r="C30" s="87">
        <f>C29+C29*'%_CO_CI_CP'!C30</f>
        <v>268978.68797437608</v>
      </c>
      <c r="D30" s="87">
        <f>D29+D29*'%_CO_CI_CP'!C30</f>
        <v>98772.536616806523</v>
      </c>
      <c r="E30" s="87">
        <f>E29+E29*'%_CO_CI_CP'!C30</f>
        <v>1143208.5182470197</v>
      </c>
      <c r="F30" s="87">
        <f t="shared" si="0"/>
        <v>1510959.7428382023</v>
      </c>
    </row>
    <row r="31" spans="1:6" x14ac:dyDescent="0.25">
      <c r="A31" s="106">
        <f t="shared" si="1"/>
        <v>26</v>
      </c>
      <c r="B31" s="104">
        <v>2047</v>
      </c>
      <c r="C31" s="86">
        <f>C30+C30*'%_CO_CI_CP'!C31</f>
        <v>268994.15751886682</v>
      </c>
      <c r="D31" s="86">
        <f>D30+D30*'%_CO_CI_CP'!C31</f>
        <v>98778.217238424404</v>
      </c>
      <c r="E31" s="86">
        <f>E30+E30*'%_CO_CI_CP'!C31</f>
        <v>1143274.2666346277</v>
      </c>
      <c r="F31" s="86">
        <f t="shared" si="0"/>
        <v>1511046.641391919</v>
      </c>
    </row>
    <row r="32" spans="1:6" x14ac:dyDescent="0.25">
      <c r="A32" s="107">
        <f t="shared" si="1"/>
        <v>27</v>
      </c>
      <c r="B32" s="105">
        <v>2048</v>
      </c>
      <c r="C32" s="87">
        <f>C31+C31*'%_CO_CI_CP'!C32</f>
        <v>268944.34773079067</v>
      </c>
      <c r="D32" s="87">
        <f>D31+D31*'%_CO_CI_CP'!C32</f>
        <v>98759.926424554811</v>
      </c>
      <c r="E32" s="87">
        <f>E31+E31*'%_CO_CI_CP'!C32</f>
        <v>1143062.5659439538</v>
      </c>
      <c r="F32" s="87">
        <f t="shared" si="0"/>
        <v>1510766.8400992993</v>
      </c>
    </row>
    <row r="33" spans="1:6" x14ac:dyDescent="0.25">
      <c r="A33" s="106">
        <f t="shared" si="1"/>
        <v>28</v>
      </c>
      <c r="B33" s="104">
        <v>2049</v>
      </c>
      <c r="C33" s="86">
        <f>C32+C32*'%_CO_CI_CP'!C33</f>
        <v>268828.9944987864</v>
      </c>
      <c r="D33" s="86">
        <f>D32+D32*'%_CO_CI_CP'!C33</f>
        <v>98717.567190007961</v>
      </c>
      <c r="E33" s="86">
        <f>E32+E32*'%_CO_CI_CP'!C33</f>
        <v>1142572.2936535068</v>
      </c>
      <c r="F33" s="86">
        <f t="shared" si="0"/>
        <v>1510118.8553423011</v>
      </c>
    </row>
    <row r="34" spans="1:6" x14ac:dyDescent="0.25">
      <c r="A34" s="107">
        <f t="shared" si="1"/>
        <v>29</v>
      </c>
      <c r="B34" s="105">
        <v>2050</v>
      </c>
      <c r="C34" s="87">
        <f>C33+C33*'%_CO_CI_CP'!C34</f>
        <v>268647.70569244865</v>
      </c>
      <c r="D34" s="87">
        <f>D33+D33*'%_CO_CI_CP'!C34</f>
        <v>98650.995539305586</v>
      </c>
      <c r="E34" s="87">
        <f>E33+E33*'%_CO_CI_CP'!C34</f>
        <v>1141801.7831374919</v>
      </c>
      <c r="F34" s="87">
        <f t="shared" si="0"/>
        <v>1509100.4843692463</v>
      </c>
    </row>
    <row r="35" spans="1:6" x14ac:dyDescent="0.25">
      <c r="A35" s="106">
        <f t="shared" si="1"/>
        <v>30</v>
      </c>
      <c r="B35" s="104">
        <v>2051</v>
      </c>
      <c r="C35" s="86">
        <f>C34+C34*'%_CO_CI_CP'!C35</f>
        <v>268400.77079628257</v>
      </c>
      <c r="D35" s="86">
        <f>D34+D34*'%_CO_CI_CP'!C35</f>
        <v>98560.317774991941</v>
      </c>
      <c r="E35" s="86">
        <f>E34+E34*'%_CO_CI_CP'!C35</f>
        <v>1140752.2647578928</v>
      </c>
      <c r="F35" s="86">
        <f t="shared" si="0"/>
        <v>1507713.3533291672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6FB34-9F5E-469B-BAA1-3FDFB42C6EFE}">
  <dimension ref="A1:U30"/>
  <sheetViews>
    <sheetView zoomScale="80" zoomScaleNormal="80" workbookViewId="0">
      <pane xSplit="1" ySplit="1" topLeftCell="H2" activePane="bottomRight" state="frozen"/>
      <selection activeCell="N1" sqref="N1"/>
      <selection pane="topRight" activeCell="N1" sqref="N1"/>
      <selection pane="bottomLeft" activeCell="N1" sqref="N1"/>
      <selection pane="bottomRight" activeCell="N1" sqref="N1"/>
    </sheetView>
  </sheetViews>
  <sheetFormatPr defaultColWidth="9.140625" defaultRowHeight="15" x14ac:dyDescent="0.25"/>
  <cols>
    <col min="1" max="1" width="16.28515625" style="35" bestFit="1" customWidth="1"/>
    <col min="2" max="9" width="15.7109375" style="35" customWidth="1"/>
    <col min="10" max="16" width="12.7109375" style="35" bestFit="1" customWidth="1"/>
    <col min="17" max="17" width="14.85546875" style="35" bestFit="1" customWidth="1"/>
    <col min="18" max="19" width="12.7109375" style="35" bestFit="1" customWidth="1"/>
    <col min="20" max="21" width="11.7109375" style="35" bestFit="1" customWidth="1"/>
    <col min="22" max="16384" width="9.140625" style="35"/>
  </cols>
  <sheetData>
    <row r="1" spans="1:21" x14ac:dyDescent="0.25">
      <c r="A1" s="35" t="s">
        <v>36</v>
      </c>
      <c r="B1" s="39">
        <v>2002</v>
      </c>
      <c r="C1" s="39">
        <v>2003</v>
      </c>
      <c r="D1" s="39">
        <v>2004</v>
      </c>
      <c r="E1" s="39">
        <v>2005</v>
      </c>
      <c r="F1" s="39">
        <v>2006</v>
      </c>
      <c r="G1" s="39">
        <v>2007</v>
      </c>
      <c r="H1" s="39">
        <v>2008</v>
      </c>
      <c r="I1" s="39">
        <v>2009</v>
      </c>
      <c r="J1" s="40">
        <v>2010</v>
      </c>
      <c r="K1" s="40">
        <v>2011</v>
      </c>
      <c r="L1" s="40">
        <v>2012</v>
      </c>
      <c r="M1" s="40">
        <v>2013</v>
      </c>
      <c r="N1" s="40">
        <v>2014</v>
      </c>
      <c r="O1" s="40">
        <v>2015</v>
      </c>
      <c r="P1" s="40">
        <v>2016</v>
      </c>
      <c r="Q1" s="40">
        <v>2017</v>
      </c>
      <c r="R1" s="40">
        <v>2018</v>
      </c>
      <c r="S1" s="40">
        <v>2019</v>
      </c>
      <c r="T1" s="40">
        <v>2020</v>
      </c>
    </row>
    <row r="2" spans="1:21" x14ac:dyDescent="0.25">
      <c r="A2" s="35" t="s">
        <v>37</v>
      </c>
      <c r="B2" s="36">
        <v>23440937.574999999</v>
      </c>
      <c r="C2" s="36">
        <v>25593575.256999999</v>
      </c>
      <c r="D2" s="36">
        <v>29458275.940000001</v>
      </c>
      <c r="E2" s="36">
        <v>32107017.123</v>
      </c>
      <c r="F2" s="36">
        <v>36672770.339000002</v>
      </c>
      <c r="G2" s="36">
        <v>42836466.733000003</v>
      </c>
      <c r="H2" s="36">
        <v>47265507.145999998</v>
      </c>
      <c r="I2" s="36">
        <v>53487339.285999998</v>
      </c>
      <c r="J2" s="36">
        <v>59203074.086000003</v>
      </c>
      <c r="K2" s="36">
        <v>66315191.751000002</v>
      </c>
      <c r="L2" s="36">
        <v>74670321.953999996</v>
      </c>
      <c r="M2" s="36">
        <v>82227463.868000001</v>
      </c>
      <c r="N2" s="36">
        <v>87248917.711999997</v>
      </c>
      <c r="O2" s="36">
        <v>87309968.373999998</v>
      </c>
      <c r="P2" s="36">
        <v>88397460.694000006</v>
      </c>
      <c r="Q2" s="36">
        <v>88972359.578999996</v>
      </c>
      <c r="R2" s="36">
        <v>91957091.802000001</v>
      </c>
      <c r="S2" s="36">
        <v>88951168</v>
      </c>
      <c r="T2" s="36"/>
      <c r="U2" s="38">
        <v>1000</v>
      </c>
    </row>
    <row r="3" spans="1:21" x14ac:dyDescent="0.25">
      <c r="A3" s="35" t="s">
        <v>76</v>
      </c>
      <c r="B3" s="36"/>
      <c r="C3" s="44">
        <f>C2/B2</f>
        <v>1.0918324053853465</v>
      </c>
      <c r="D3" s="44">
        <f t="shared" ref="D3:S3" si="0">D2/C2</f>
        <v>1.1510027670691685</v>
      </c>
      <c r="E3" s="44">
        <f t="shared" si="0"/>
        <v>1.0899150102468624</v>
      </c>
      <c r="F3" s="44">
        <f t="shared" si="0"/>
        <v>1.1422042165582957</v>
      </c>
      <c r="G3" s="44">
        <f t="shared" si="0"/>
        <v>1.1680728327045737</v>
      </c>
      <c r="H3" s="44">
        <f t="shared" si="0"/>
        <v>1.103394158080456</v>
      </c>
      <c r="I3" s="44">
        <f t="shared" si="0"/>
        <v>1.131635785072213</v>
      </c>
      <c r="J3" s="44">
        <f t="shared" si="0"/>
        <v>1.1068614531270218</v>
      </c>
      <c r="K3" s="44">
        <f t="shared" si="0"/>
        <v>1.1201308846677243</v>
      </c>
      <c r="L3" s="44">
        <f t="shared" si="0"/>
        <v>1.1259911942103975</v>
      </c>
      <c r="M3" s="44">
        <f t="shared" si="0"/>
        <v>1.1012067675114019</v>
      </c>
      <c r="N3" s="44">
        <f t="shared" si="0"/>
        <v>1.0610678428810714</v>
      </c>
      <c r="O3" s="44">
        <f t="shared" si="0"/>
        <v>1.0006997297342017</v>
      </c>
      <c r="P3" s="44">
        <f t="shared" si="0"/>
        <v>1.0124555344624755</v>
      </c>
      <c r="Q3" s="44">
        <f t="shared" si="0"/>
        <v>1.0065035678682002</v>
      </c>
      <c r="R3" s="44">
        <f t="shared" si="0"/>
        <v>1.0335467356055654</v>
      </c>
      <c r="S3" s="44">
        <f t="shared" si="0"/>
        <v>0.96731166957223602</v>
      </c>
      <c r="T3" s="36"/>
      <c r="U3" s="38"/>
    </row>
    <row r="4" spans="1:21" x14ac:dyDescent="0.25">
      <c r="A4" s="35" t="s">
        <v>38</v>
      </c>
      <c r="B4" s="36">
        <v>10186.260125558885</v>
      </c>
      <c r="C4" s="36">
        <v>11003.729849520616</v>
      </c>
      <c r="D4" s="36">
        <v>12532.428787303814</v>
      </c>
      <c r="E4" s="36">
        <v>13516.871609364429</v>
      </c>
      <c r="F4" s="36">
        <v>15280.830335594521</v>
      </c>
      <c r="G4" s="36">
        <v>17752.832640470926</v>
      </c>
      <c r="H4" s="36">
        <v>19413.740149886511</v>
      </c>
      <c r="I4" s="36">
        <v>21808.272260202059</v>
      </c>
      <c r="J4" s="37">
        <v>24922.95</v>
      </c>
      <c r="K4" s="37">
        <v>27797.65</v>
      </c>
      <c r="L4" s="37">
        <v>31167.37</v>
      </c>
      <c r="M4" s="37">
        <v>33167.4</v>
      </c>
      <c r="N4" s="37">
        <v>35024.129999999997</v>
      </c>
      <c r="O4" s="37">
        <v>34888.300000000003</v>
      </c>
      <c r="P4" s="37">
        <v>35169.760000000002</v>
      </c>
      <c r="Q4" s="37">
        <v>35253.42</v>
      </c>
      <c r="R4" s="37">
        <v>36759.660000000003</v>
      </c>
      <c r="S4" s="37"/>
      <c r="T4" s="37"/>
      <c r="U4" s="36"/>
    </row>
    <row r="5" spans="1:21" x14ac:dyDescent="0.25">
      <c r="U5" s="36"/>
    </row>
    <row r="6" spans="1:21" x14ac:dyDescent="0.25">
      <c r="A6" s="35" t="s">
        <v>39</v>
      </c>
      <c r="B6" s="36">
        <v>124071.06640085476</v>
      </c>
      <c r="C6" s="36">
        <v>144189.09382649025</v>
      </c>
      <c r="D6" s="36">
        <v>171870.93384900183</v>
      </c>
      <c r="E6" s="36">
        <v>188364.43556584336</v>
      </c>
      <c r="F6" s="36">
        <v>212659.54719896664</v>
      </c>
      <c r="G6" s="36">
        <v>240355.23865180745</v>
      </c>
      <c r="H6" s="36">
        <v>278607.61937305331</v>
      </c>
      <c r="I6" s="36">
        <v>287443.84806385543</v>
      </c>
      <c r="J6" s="36">
        <v>351123.41775294539</v>
      </c>
      <c r="K6" s="36">
        <v>400124.68703611812</v>
      </c>
      <c r="L6" s="36">
        <v>442282.82986795285</v>
      </c>
      <c r="M6" s="36">
        <v>488004.90301717556</v>
      </c>
      <c r="N6" s="36">
        <v>516633.98410084756</v>
      </c>
      <c r="O6" s="36">
        <v>519331.21314863343</v>
      </c>
      <c r="P6" s="36">
        <v>544810.46839230519</v>
      </c>
      <c r="Q6" s="36">
        <v>576375.54468276002</v>
      </c>
      <c r="R6" s="36">
        <v>614875.81979584997</v>
      </c>
      <c r="S6" s="36"/>
      <c r="T6" s="36"/>
      <c r="U6" s="38">
        <v>1000000</v>
      </c>
    </row>
    <row r="7" spans="1:21" x14ac:dyDescent="0.25">
      <c r="A7" s="35" t="s">
        <v>76</v>
      </c>
      <c r="B7" s="36"/>
      <c r="C7" s="44">
        <f t="shared" ref="C7:S7" si="1">C6/B6</f>
        <v>1.1621492263203188</v>
      </c>
      <c r="D7" s="44">
        <f t="shared" si="1"/>
        <v>1.1919828975125017</v>
      </c>
      <c r="E7" s="44">
        <f t="shared" si="1"/>
        <v>1.0959644620964939</v>
      </c>
      <c r="F7" s="44">
        <f t="shared" si="1"/>
        <v>1.1289792925089133</v>
      </c>
      <c r="G7" s="44">
        <f t="shared" si="1"/>
        <v>1.1302348839618679</v>
      </c>
      <c r="H7" s="44">
        <f t="shared" si="1"/>
        <v>1.1591493529985444</v>
      </c>
      <c r="I7" s="44">
        <f t="shared" si="1"/>
        <v>1.0317156749362639</v>
      </c>
      <c r="J7" s="44">
        <f t="shared" si="1"/>
        <v>1.2215374241543815</v>
      </c>
      <c r="K7" s="44">
        <f t="shared" si="1"/>
        <v>1.1395556855670921</v>
      </c>
      <c r="L7" s="44">
        <f t="shared" si="1"/>
        <v>1.1053625137306993</v>
      </c>
      <c r="M7" s="44">
        <f t="shared" si="1"/>
        <v>1.1033774545642512</v>
      </c>
      <c r="N7" s="44">
        <f t="shared" si="1"/>
        <v>1.0586655603389796</v>
      </c>
      <c r="O7" s="44">
        <f t="shared" si="1"/>
        <v>1.0052207735665708</v>
      </c>
      <c r="P7" s="44">
        <f t="shared" si="1"/>
        <v>1.0490616673879365</v>
      </c>
      <c r="Q7" s="44">
        <f t="shared" si="1"/>
        <v>1.057937719852559</v>
      </c>
      <c r="R7" s="44">
        <f t="shared" si="1"/>
        <v>1.0667972044759129</v>
      </c>
      <c r="S7" s="44">
        <f t="shared" si="1"/>
        <v>0</v>
      </c>
      <c r="T7" s="36"/>
      <c r="U7" s="38"/>
    </row>
    <row r="8" spans="1:21" x14ac:dyDescent="0.25">
      <c r="A8" s="35" t="s">
        <v>40</v>
      </c>
      <c r="B8" s="36">
        <v>6616.8002886288205</v>
      </c>
      <c r="C8" s="36">
        <v>7617.4080250703664</v>
      </c>
      <c r="D8" s="36">
        <v>8999.6217764949415</v>
      </c>
      <c r="E8" s="36">
        <v>9780.7750591458334</v>
      </c>
      <c r="F8" s="36">
        <v>10955.526125707262</v>
      </c>
      <c r="G8" s="36">
        <v>12293.54423987798</v>
      </c>
      <c r="H8" s="36">
        <v>14149.990232053153</v>
      </c>
      <c r="I8" s="36">
        <v>14498.052900028497</v>
      </c>
      <c r="J8" s="36">
        <v>17593.606563693495</v>
      </c>
      <c r="K8" s="36">
        <v>19910.50167318598</v>
      </c>
      <c r="L8" s="36">
        <v>21857.097653572102</v>
      </c>
      <c r="M8" s="36">
        <v>23955.478161128009</v>
      </c>
      <c r="N8" s="36">
        <v>25191.051713829533</v>
      </c>
      <c r="O8" s="36">
        <v>25150.456024924501</v>
      </c>
      <c r="P8" s="36">
        <v>26217.687532377124</v>
      </c>
      <c r="Q8" s="36">
        <v>27566.397215673835</v>
      </c>
      <c r="R8" s="36">
        <v>29223.216446129401</v>
      </c>
      <c r="S8" s="36"/>
      <c r="T8" s="36"/>
      <c r="U8" s="36"/>
    </row>
    <row r="9" spans="1:21" x14ac:dyDescent="0.25">
      <c r="A9" s="35" t="s">
        <v>289</v>
      </c>
      <c r="B9" s="76">
        <v>18343517</v>
      </c>
      <c r="C9" s="76">
        <v>18553312</v>
      </c>
      <c r="D9" s="76">
        <v>18993720</v>
      </c>
      <c r="E9" s="76">
        <v>19237450</v>
      </c>
      <c r="F9" s="76">
        <v>19479356</v>
      </c>
      <c r="G9" s="76">
        <v>19273533</v>
      </c>
      <c r="H9" s="76">
        <v>19850072</v>
      </c>
      <c r="I9" s="76">
        <v>20033665</v>
      </c>
      <c r="J9" s="76">
        <v>19595309</v>
      </c>
      <c r="K9" s="76">
        <v>19728701</v>
      </c>
      <c r="L9" s="76">
        <v>19855332</v>
      </c>
      <c r="M9" s="76">
        <v>20593356</v>
      </c>
      <c r="N9" s="76">
        <v>20734097</v>
      </c>
      <c r="O9" s="76">
        <v>20869101</v>
      </c>
      <c r="P9" s="76">
        <v>20997560</v>
      </c>
      <c r="Q9" s="76">
        <v>21119536</v>
      </c>
      <c r="R9" s="76">
        <v>21040662</v>
      </c>
      <c r="S9" s="76">
        <v>21168791</v>
      </c>
      <c r="T9" s="76">
        <v>21292666</v>
      </c>
    </row>
    <row r="10" spans="1:21" x14ac:dyDescent="0.25">
      <c r="A10" s="35" t="s">
        <v>76</v>
      </c>
      <c r="B10" s="36"/>
      <c r="C10" s="44">
        <f>(C9/B9)-100%</f>
        <v>1.1437010688844396E-2</v>
      </c>
      <c r="D10" s="44">
        <f t="shared" ref="D10:T10" si="2">(D9/C9)-100%</f>
        <v>2.3737432971536299E-2</v>
      </c>
      <c r="E10" s="44">
        <f t="shared" si="2"/>
        <v>1.2832136095509483E-2</v>
      </c>
      <c r="F10" s="44">
        <f t="shared" si="2"/>
        <v>1.2574743534096156E-2</v>
      </c>
      <c r="G10" s="44">
        <f t="shared" si="2"/>
        <v>-1.056621173718475E-2</v>
      </c>
      <c r="H10" s="44">
        <f t="shared" si="2"/>
        <v>2.9913508851750148E-2</v>
      </c>
      <c r="I10" s="44">
        <f t="shared" si="2"/>
        <v>9.2489840842895354E-3</v>
      </c>
      <c r="J10" s="44">
        <f t="shared" si="2"/>
        <v>-2.1880968859167793E-2</v>
      </c>
      <c r="K10" s="44">
        <f t="shared" si="2"/>
        <v>6.8073435330875398E-3</v>
      </c>
      <c r="L10" s="44">
        <f t="shared" si="2"/>
        <v>6.4186182354326604E-3</v>
      </c>
      <c r="M10" s="44">
        <f t="shared" si="2"/>
        <v>3.7170065955079545E-2</v>
      </c>
      <c r="N10" s="44">
        <f t="shared" si="2"/>
        <v>6.8342916035637469E-3</v>
      </c>
      <c r="O10" s="44">
        <f t="shared" si="2"/>
        <v>6.5112071193647036E-3</v>
      </c>
      <c r="P10" s="44">
        <f t="shared" si="2"/>
        <v>6.155464003935851E-3</v>
      </c>
      <c r="Q10" s="44">
        <f t="shared" si="2"/>
        <v>5.8090559093533223E-3</v>
      </c>
      <c r="R10" s="44">
        <f t="shared" si="2"/>
        <v>-3.7346464429900417E-3</v>
      </c>
      <c r="S10" s="44">
        <f t="shared" si="2"/>
        <v>6.0895897667097021E-3</v>
      </c>
      <c r="T10" s="44">
        <f t="shared" si="2"/>
        <v>5.8517749076931747E-3</v>
      </c>
    </row>
    <row r="12" spans="1:21" x14ac:dyDescent="0.25">
      <c r="A12" s="35" t="s">
        <v>44</v>
      </c>
      <c r="B12" s="36">
        <v>1488787.2551583699</v>
      </c>
      <c r="C12" s="36">
        <v>1717950.39642449</v>
      </c>
      <c r="D12" s="36">
        <v>1957751.2129625599</v>
      </c>
      <c r="E12" s="36">
        <v>2170584.5</v>
      </c>
      <c r="F12" s="36">
        <v>2409449.94</v>
      </c>
      <c r="G12" s="36">
        <v>2720262.93</v>
      </c>
      <c r="H12" s="36">
        <v>3109803.1</v>
      </c>
      <c r="I12" s="36">
        <v>3333039.35</v>
      </c>
      <c r="J12" s="36">
        <v>3885847</v>
      </c>
      <c r="K12" s="36">
        <v>4376382</v>
      </c>
      <c r="L12" s="36">
        <v>4814760</v>
      </c>
      <c r="M12" s="36">
        <v>5331619.0000000102</v>
      </c>
      <c r="N12" s="36">
        <v>5778953</v>
      </c>
      <c r="O12" s="36">
        <v>6000570.4600999895</v>
      </c>
      <c r="P12" s="36">
        <v>6266894.7364438605</v>
      </c>
      <c r="Q12" s="36">
        <v>6583000</v>
      </c>
      <c r="R12" s="36">
        <v>6800000</v>
      </c>
      <c r="S12" s="36">
        <v>7257000</v>
      </c>
      <c r="T12" s="36">
        <v>7400000</v>
      </c>
      <c r="U12" s="38">
        <v>1000000</v>
      </c>
    </row>
    <row r="13" spans="1:21" x14ac:dyDescent="0.25">
      <c r="A13" s="35" t="s">
        <v>76</v>
      </c>
      <c r="B13" s="36"/>
      <c r="C13" s="44">
        <f t="shared" ref="C13:S13" si="3">C12/B12</f>
        <v>1.1539260498584418</v>
      </c>
      <c r="D13" s="44">
        <f t="shared" si="3"/>
        <v>1.1395854135469563</v>
      </c>
      <c r="E13" s="44">
        <f t="shared" si="3"/>
        <v>1.1087131427263277</v>
      </c>
      <c r="F13" s="44">
        <f t="shared" si="3"/>
        <v>1.1100465980476688</v>
      </c>
      <c r="G13" s="44">
        <f t="shared" si="3"/>
        <v>1.1289974881154825</v>
      </c>
      <c r="H13" s="44">
        <f t="shared" si="3"/>
        <v>1.1431994553555895</v>
      </c>
      <c r="I13" s="44">
        <f t="shared" si="3"/>
        <v>1.0717846895194103</v>
      </c>
      <c r="J13" s="44">
        <f t="shared" si="3"/>
        <v>1.165856922751302</v>
      </c>
      <c r="K13" s="44">
        <f t="shared" si="3"/>
        <v>1.12623631347297</v>
      </c>
      <c r="L13" s="44">
        <f t="shared" si="3"/>
        <v>1.1001690437443532</v>
      </c>
      <c r="M13" s="44">
        <f t="shared" si="3"/>
        <v>1.1073488605870303</v>
      </c>
      <c r="N13" s="44">
        <f t="shared" si="3"/>
        <v>1.083902094279428</v>
      </c>
      <c r="O13" s="44">
        <f t="shared" si="3"/>
        <v>1.0383490677463529</v>
      </c>
      <c r="P13" s="44">
        <f t="shared" si="3"/>
        <v>1.0443831595870359</v>
      </c>
      <c r="Q13" s="44">
        <f t="shared" si="3"/>
        <v>1.0504404935538318</v>
      </c>
      <c r="R13" s="44">
        <f t="shared" si="3"/>
        <v>1.0329636943642717</v>
      </c>
      <c r="S13" s="44">
        <f t="shared" si="3"/>
        <v>1.0672058823529411</v>
      </c>
      <c r="T13" s="36"/>
      <c r="U13" s="38"/>
    </row>
    <row r="14" spans="1:21" x14ac:dyDescent="0.25">
      <c r="A14" s="35" t="s">
        <v>43</v>
      </c>
      <c r="B14" s="36">
        <v>8351.0185679956357</v>
      </c>
      <c r="C14" s="36">
        <v>9511.4543275481701</v>
      </c>
      <c r="D14" s="36">
        <v>10703.270992283644</v>
      </c>
      <c r="E14" s="36">
        <v>11723.332727064348</v>
      </c>
      <c r="F14" s="36">
        <v>12861.708490234032</v>
      </c>
      <c r="G14" s="36">
        <v>14357.77146721168</v>
      </c>
      <c r="H14" s="36">
        <v>16236.430263629059</v>
      </c>
      <c r="I14" s="36">
        <v>17221.096439447392</v>
      </c>
      <c r="J14" s="36">
        <v>19876.679224165375</v>
      </c>
      <c r="K14" s="36">
        <v>22170.456495953749</v>
      </c>
      <c r="L14" s="36">
        <v>24165.330781748722</v>
      </c>
      <c r="M14" s="36">
        <v>26521.151179404562</v>
      </c>
      <c r="N14" s="36">
        <v>28500.241570978837</v>
      </c>
      <c r="O14" s="36">
        <v>29117.472650811102</v>
      </c>
      <c r="P14" s="36">
        <v>30407</v>
      </c>
      <c r="Q14" s="36">
        <v>31833.5</v>
      </c>
      <c r="R14" s="36">
        <v>33593.82</v>
      </c>
      <c r="S14" s="36">
        <v>34533</v>
      </c>
      <c r="T14" s="36"/>
    </row>
    <row r="15" spans="1:21" x14ac:dyDescent="0.25">
      <c r="A15" s="35" t="s">
        <v>289</v>
      </c>
      <c r="B15" s="76">
        <v>174632960</v>
      </c>
      <c r="C15" s="76">
        <v>176871437</v>
      </c>
      <c r="D15" s="76">
        <v>181581024</v>
      </c>
      <c r="E15" s="76">
        <v>184184264</v>
      </c>
      <c r="F15" s="76">
        <v>186770562</v>
      </c>
      <c r="G15" s="76">
        <v>183989711</v>
      </c>
      <c r="H15" s="76">
        <v>189612814</v>
      </c>
      <c r="I15" s="76">
        <v>191480630</v>
      </c>
      <c r="J15" s="76">
        <v>190747855</v>
      </c>
      <c r="K15" s="76">
        <v>192379287</v>
      </c>
      <c r="L15" s="76">
        <v>193946886</v>
      </c>
      <c r="M15" s="76">
        <v>201032714</v>
      </c>
      <c r="N15" s="76">
        <v>202768562</v>
      </c>
      <c r="O15" s="76">
        <v>204450649</v>
      </c>
      <c r="P15" s="76">
        <v>206081432</v>
      </c>
      <c r="Q15" s="76">
        <v>207660929</v>
      </c>
      <c r="R15" s="76">
        <v>208494900</v>
      </c>
      <c r="S15" s="76">
        <v>210147125</v>
      </c>
      <c r="T15" s="76">
        <v>211755692</v>
      </c>
    </row>
    <row r="16" spans="1:21" x14ac:dyDescent="0.25">
      <c r="A16" s="35" t="s">
        <v>76</v>
      </c>
      <c r="B16" s="36"/>
      <c r="C16" s="44">
        <f t="shared" ref="C16:T16" si="4">(C15/B15)-100%</f>
        <v>1.2818181630775749E-2</v>
      </c>
      <c r="D16" s="44">
        <f t="shared" si="4"/>
        <v>2.6627176665048546E-2</v>
      </c>
      <c r="E16" s="44">
        <f t="shared" si="4"/>
        <v>1.4336520098047201E-2</v>
      </c>
      <c r="F16" s="44">
        <f t="shared" si="4"/>
        <v>1.4041905338883831E-2</v>
      </c>
      <c r="G16" s="44">
        <f t="shared" si="4"/>
        <v>-1.4889129048077709E-2</v>
      </c>
      <c r="H16" s="44">
        <f t="shared" si="4"/>
        <v>3.0562051374709798E-2</v>
      </c>
      <c r="I16" s="44">
        <f t="shared" si="4"/>
        <v>9.8506844584880238E-3</v>
      </c>
      <c r="J16" s="44">
        <f t="shared" si="4"/>
        <v>-3.8268883907474072E-3</v>
      </c>
      <c r="K16" s="44">
        <f t="shared" si="4"/>
        <v>8.5528196372115506E-3</v>
      </c>
      <c r="L16" s="44">
        <f t="shared" si="4"/>
        <v>8.148481182384204E-3</v>
      </c>
      <c r="M16" s="44">
        <f t="shared" si="4"/>
        <v>3.6534889247976876E-2</v>
      </c>
      <c r="N16" s="44">
        <f t="shared" si="4"/>
        <v>8.6346543577977553E-3</v>
      </c>
      <c r="O16" s="44">
        <f t="shared" si="4"/>
        <v>8.2956005773715535E-3</v>
      </c>
      <c r="P16" s="44">
        <f t="shared" si="4"/>
        <v>7.9764139071039075E-3</v>
      </c>
      <c r="Q16" s="44">
        <f t="shared" si="4"/>
        <v>7.6644314078717635E-3</v>
      </c>
      <c r="R16" s="44">
        <f t="shared" si="4"/>
        <v>4.0160226770438179E-3</v>
      </c>
      <c r="S16" s="44">
        <f t="shared" si="4"/>
        <v>7.9245343651090927E-3</v>
      </c>
      <c r="T16" s="44">
        <f t="shared" si="4"/>
        <v>7.6544801647893124E-3</v>
      </c>
    </row>
    <row r="17" spans="1:20" x14ac:dyDescent="0.25"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</row>
    <row r="18" spans="1:20" x14ac:dyDescent="0.25"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</row>
    <row r="19" spans="1:20" x14ac:dyDescent="0.25">
      <c r="B19" s="76"/>
      <c r="C19" s="76"/>
      <c r="D19" s="76"/>
      <c r="E19" s="76"/>
      <c r="F19" s="76"/>
      <c r="G19" s="76"/>
      <c r="H19" s="76"/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</row>
    <row r="20" spans="1:20" x14ac:dyDescent="0.25">
      <c r="B20" s="76"/>
      <c r="C20" s="76"/>
      <c r="D20" s="76"/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</row>
    <row r="21" spans="1:20" x14ac:dyDescent="0.25">
      <c r="B21" s="76"/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</row>
    <row r="22" spans="1:20" x14ac:dyDescent="0.25"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</row>
    <row r="23" spans="1:20" x14ac:dyDescent="0.25">
      <c r="A23" s="35" t="s">
        <v>41</v>
      </c>
    </row>
    <row r="24" spans="1:20" x14ac:dyDescent="0.25">
      <c r="A24" s="41" t="s">
        <v>42</v>
      </c>
      <c r="Q24" s="41" t="s">
        <v>72</v>
      </c>
      <c r="R24" s="41" t="s">
        <v>73</v>
      </c>
      <c r="S24" s="41" t="s">
        <v>74</v>
      </c>
    </row>
    <row r="25" spans="1:20" x14ac:dyDescent="0.25">
      <c r="R25" s="41" t="s">
        <v>75</v>
      </c>
      <c r="T25" s="41" t="s">
        <v>75</v>
      </c>
    </row>
    <row r="27" spans="1:20" x14ac:dyDescent="0.25">
      <c r="R27" s="45" t="s">
        <v>83</v>
      </c>
      <c r="S27" s="45" t="s">
        <v>84</v>
      </c>
      <c r="T27" s="45" t="s">
        <v>85</v>
      </c>
    </row>
    <row r="28" spans="1:20" x14ac:dyDescent="0.25">
      <c r="P28" s="35" t="s">
        <v>80</v>
      </c>
      <c r="Q28" s="35" t="s">
        <v>77</v>
      </c>
      <c r="R28" s="44">
        <f>AVERAGE(N3:R3)-100%</f>
        <v>2.2854682110302615E-2</v>
      </c>
      <c r="S28" s="44">
        <f>AVERAGE(N7:R7)-100%</f>
        <v>4.753658512439185E-2</v>
      </c>
      <c r="T28" s="44">
        <f>AVERAGE(N13:R13)-100%</f>
        <v>5.0007701906183977E-2</v>
      </c>
    </row>
    <row r="29" spans="1:20" x14ac:dyDescent="0.25">
      <c r="P29" s="35" t="s">
        <v>81</v>
      </c>
      <c r="Q29" s="35" t="s">
        <v>78</v>
      </c>
      <c r="R29" s="44">
        <f>AVERAGE(I3:R3)-100%</f>
        <v>7.0009949514027392E-2</v>
      </c>
      <c r="S29" s="44">
        <f>AVERAGE(I7:R7)-100%</f>
        <v>8.3923167857464787E-2</v>
      </c>
      <c r="T29" s="44">
        <f>AVERAGE(I13:R13)-100%</f>
        <v>8.2143433960598644E-2</v>
      </c>
    </row>
    <row r="30" spans="1:20" x14ac:dyDescent="0.25">
      <c r="P30" s="35" t="s">
        <v>82</v>
      </c>
      <c r="Q30" s="35" t="s">
        <v>79</v>
      </c>
      <c r="R30" s="44">
        <f>AVERAGE(C3:R3)-100%</f>
        <v>9.0407555324060862E-2</v>
      </c>
      <c r="S30" s="44">
        <f>AVERAGE(C7:R7)-100%</f>
        <v>0.10673073712333059</v>
      </c>
      <c r="T30" s="44">
        <f>AVERAGE(C13:R13)-100%</f>
        <v>0.10036890545352839</v>
      </c>
    </row>
  </sheetData>
  <hyperlinks>
    <hyperlink ref="A24" r:id="rId1" xr:uid="{D84EBD4B-1406-4BEC-96EC-01B54F4CC851}"/>
    <hyperlink ref="Q24" r:id="rId2" xr:uid="{448B315D-2388-4FE7-AD1B-3176B359718A}"/>
    <hyperlink ref="R24" r:id="rId3" xr:uid="{4A3AFD9F-2029-4179-B20C-B7025E86B33C}"/>
    <hyperlink ref="S24" r:id="rId4" xr:uid="{238428C8-0EC7-47BE-A9C5-C629A7B7AB34}"/>
    <hyperlink ref="T25" r:id="rId5" location=":~:text=O%20PIB%20do%20Brasil%20em,das%20Unidades%20da%20Federa%C3%A7%C3%A3o%20brasileiras.&amp;text=O%20PIB%20mede%20apenas%20os,finais%20para%20evitar%20dupla%20contagem." xr:uid="{3D08E94B-A937-403A-8410-CA28BC5BB36A}"/>
    <hyperlink ref="R25" r:id="rId6" location=":~:text=O%20PIB%20do%20Brasil%20em,das%20Unidades%20da%20Federa%C3%A7%C3%A3o%20brasileiras.&amp;text=O%20PIB%20mede%20apenas%20os,finais%20para%20evitar%20dupla%20contagem." xr:uid="{13335DFE-520B-455F-BA2F-A35CA9AA9F7B}"/>
  </hyperlinks>
  <pageMargins left="0.511811024" right="0.511811024" top="0.78740157499999996" bottom="0.78740157499999996" header="0.31496062000000002" footer="0.31496062000000002"/>
  <pageSetup paperSize="9" orientation="portrait" r:id="rId7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65657-703B-4B04-B230-1C44BF59B827}">
  <dimension ref="A1:E13"/>
  <sheetViews>
    <sheetView zoomScale="70" zoomScaleNormal="70" workbookViewId="0">
      <selection activeCell="N1" sqref="N1"/>
    </sheetView>
  </sheetViews>
  <sheetFormatPr defaultRowHeight="15" x14ac:dyDescent="0.25"/>
  <cols>
    <col min="1" max="1" width="7.28515625" bestFit="1" customWidth="1"/>
    <col min="2" max="2" width="10.5703125" bestFit="1" customWidth="1"/>
    <col min="3" max="3" width="10.28515625" bestFit="1" customWidth="1"/>
    <col min="4" max="5" width="10.140625" bestFit="1" customWidth="1"/>
  </cols>
  <sheetData>
    <row r="1" spans="1:5" x14ac:dyDescent="0.25">
      <c r="A1" t="s">
        <v>299</v>
      </c>
    </row>
    <row r="3" spans="1:5" ht="45" x14ac:dyDescent="0.25">
      <c r="A3" s="45" t="s">
        <v>30</v>
      </c>
      <c r="B3" s="93" t="s">
        <v>300</v>
      </c>
      <c r="C3" s="93" t="s">
        <v>301</v>
      </c>
      <c r="D3" s="93" t="s">
        <v>302</v>
      </c>
      <c r="E3" s="93" t="s">
        <v>303</v>
      </c>
    </row>
    <row r="4" spans="1:5" x14ac:dyDescent="0.25">
      <c r="A4">
        <v>2015</v>
      </c>
      <c r="B4" s="34">
        <v>-3.55</v>
      </c>
      <c r="C4" s="34"/>
      <c r="D4" s="34"/>
      <c r="E4" s="34"/>
    </row>
    <row r="5" spans="1:5" x14ac:dyDescent="0.25">
      <c r="A5">
        <v>2016</v>
      </c>
      <c r="B5" s="34">
        <v>-3.31</v>
      </c>
      <c r="C5" s="34"/>
      <c r="D5" s="34"/>
      <c r="E5" s="34"/>
    </row>
    <row r="6" spans="1:5" x14ac:dyDescent="0.25">
      <c r="A6">
        <v>2017</v>
      </c>
      <c r="B6" s="34">
        <v>1.06</v>
      </c>
      <c r="C6" s="34"/>
      <c r="D6" s="34"/>
      <c r="E6" s="34"/>
    </row>
    <row r="7" spans="1:5" x14ac:dyDescent="0.25">
      <c r="A7">
        <v>2018</v>
      </c>
      <c r="B7" s="34">
        <v>1.1200000000000001</v>
      </c>
      <c r="C7" s="34"/>
      <c r="D7" s="34"/>
      <c r="E7" s="34"/>
    </row>
    <row r="8" spans="1:5" x14ac:dyDescent="0.25">
      <c r="A8">
        <v>2019</v>
      </c>
      <c r="B8" s="34">
        <v>1.1399999999999999</v>
      </c>
      <c r="C8" s="34">
        <v>1.1399999999999999</v>
      </c>
      <c r="D8" s="34">
        <v>1.1399999999999999</v>
      </c>
      <c r="E8" s="34"/>
    </row>
    <row r="9" spans="1:5" x14ac:dyDescent="0.25">
      <c r="A9">
        <v>2020</v>
      </c>
      <c r="B9" s="34">
        <v>-4.0999999999999996</v>
      </c>
      <c r="C9" s="34">
        <v>2.2000000000000002</v>
      </c>
      <c r="D9" s="34">
        <v>-6.6</v>
      </c>
      <c r="E9" s="34">
        <v>-4.0999999999999996</v>
      </c>
    </row>
    <row r="10" spans="1:5" x14ac:dyDescent="0.25">
      <c r="A10">
        <v>2021</v>
      </c>
      <c r="B10" s="34"/>
      <c r="C10" s="34">
        <v>2.5</v>
      </c>
      <c r="D10" s="34">
        <v>3.5</v>
      </c>
      <c r="E10" s="34">
        <v>3.3</v>
      </c>
    </row>
    <row r="11" spans="1:5" x14ac:dyDescent="0.25">
      <c r="A11">
        <v>2022</v>
      </c>
      <c r="B11" s="34"/>
      <c r="C11" s="34">
        <v>2.5</v>
      </c>
      <c r="D11" s="34">
        <v>2.5</v>
      </c>
      <c r="E11" s="34">
        <v>2.5</v>
      </c>
    </row>
    <row r="12" spans="1:5" x14ac:dyDescent="0.25">
      <c r="A12">
        <v>2023</v>
      </c>
      <c r="B12" s="34"/>
      <c r="C12" s="34">
        <v>2.5</v>
      </c>
      <c r="D12" s="34">
        <v>2.5</v>
      </c>
      <c r="E12" s="34">
        <v>2.5</v>
      </c>
    </row>
    <row r="13" spans="1:5" x14ac:dyDescent="0.25">
      <c r="A13">
        <v>2024</v>
      </c>
      <c r="B13" s="34"/>
      <c r="C13" s="34">
        <v>2.5</v>
      </c>
      <c r="D13" s="34">
        <v>2.5</v>
      </c>
      <c r="E13" s="34">
        <v>2.5</v>
      </c>
    </row>
  </sheetData>
  <pageMargins left="0.511811024" right="0.511811024" top="0.78740157499999996" bottom="0.78740157499999996" header="0.31496062000000002" footer="0.31496062000000002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153B1-FF75-4D7D-95F0-3A569167D467}">
  <dimension ref="A1:T60"/>
  <sheetViews>
    <sheetView zoomScale="80" zoomScaleNormal="80" workbookViewId="0">
      <selection activeCell="N1" sqref="N1"/>
    </sheetView>
  </sheetViews>
  <sheetFormatPr defaultRowHeight="15" x14ac:dyDescent="0.25"/>
  <cols>
    <col min="1" max="1" width="6.42578125" bestFit="1" customWidth="1"/>
    <col min="2" max="2" width="10.5703125" bestFit="1" customWidth="1"/>
    <col min="3" max="3" width="31.5703125" bestFit="1" customWidth="1"/>
    <col min="6" max="6" width="31.5703125" bestFit="1" customWidth="1"/>
    <col min="10" max="10" width="12.5703125" customWidth="1"/>
    <col min="12" max="12" width="13.7109375" customWidth="1"/>
    <col min="13" max="13" width="12.140625" customWidth="1"/>
  </cols>
  <sheetData>
    <row r="1" spans="1:20" ht="72" thickBot="1" x14ac:dyDescent="0.3">
      <c r="A1" s="71" t="s">
        <v>30</v>
      </c>
      <c r="B1" s="71" t="s">
        <v>76</v>
      </c>
      <c r="C1" s="74" t="s">
        <v>285</v>
      </c>
      <c r="F1" s="35" t="s">
        <v>286</v>
      </c>
      <c r="I1" s="45" t="s">
        <v>84</v>
      </c>
      <c r="J1" s="75" t="s">
        <v>287</v>
      </c>
      <c r="M1" s="75" t="s">
        <v>288</v>
      </c>
      <c r="P1" s="75" t="s">
        <v>290</v>
      </c>
      <c r="S1" s="75" t="s">
        <v>291</v>
      </c>
    </row>
    <row r="2" spans="1:20" ht="15.75" thickBot="1" x14ac:dyDescent="0.3">
      <c r="A2" s="69">
        <v>2020</v>
      </c>
      <c r="B2" s="70">
        <v>-4.1000000000000002E-2</v>
      </c>
      <c r="C2" s="69" t="s">
        <v>274</v>
      </c>
      <c r="D2" s="5">
        <f>AVERAGE(B2:B6)</f>
        <v>-8.1799999999999998E-3</v>
      </c>
      <c r="F2" s="69" t="s">
        <v>273</v>
      </c>
      <c r="G2" s="5">
        <f>AVERAGE(B3:B7)</f>
        <v>-7.0799999999999986E-3</v>
      </c>
      <c r="H2" s="5"/>
      <c r="K2" s="5">
        <f>AVERAGE(J3:J7)</f>
        <v>-8.1694881145920589E-3</v>
      </c>
      <c r="N2" s="5">
        <f>AVERAGE(M3:M7)</f>
        <v>-1.4494157180269336E-2</v>
      </c>
      <c r="P2" s="5">
        <v>5.8517749076931747E-3</v>
      </c>
      <c r="Q2" s="5">
        <f>AVERAGE(P3:P7)</f>
        <v>4.1661340712747076E-3</v>
      </c>
      <c r="S2" s="5">
        <v>7.6544801647893124E-3</v>
      </c>
      <c r="T2" s="5">
        <f>AVERAGE(S3:S7)</f>
        <v>7.175400586900027E-3</v>
      </c>
    </row>
    <row r="3" spans="1:20" ht="15.75" thickBot="1" x14ac:dyDescent="0.3">
      <c r="A3" s="69">
        <v>2019</v>
      </c>
      <c r="B3" s="70">
        <v>1.14E-2</v>
      </c>
      <c r="C3" s="69" t="s">
        <v>275</v>
      </c>
      <c r="D3" s="5">
        <f>AVERAGE(B2:B11)</f>
        <v>1.7500000000000005E-3</v>
      </c>
      <c r="F3" s="72" t="s">
        <v>280</v>
      </c>
      <c r="G3" s="73">
        <f>AVERAGE(B3:B12)</f>
        <v>1.338E-2</v>
      </c>
      <c r="H3" s="5"/>
      <c r="K3" s="73">
        <f>AVERAGE(J3:J12)</f>
        <v>1.2653633150965078E-2</v>
      </c>
      <c r="N3" s="73">
        <f>AVERAGE(M3:M12)</f>
        <v>5.9872259744580113E-3</v>
      </c>
      <c r="P3" s="5">
        <v>6.0895897667097021E-3</v>
      </c>
      <c r="Q3" s="73">
        <f>AVERAGE(P3:P12)</f>
        <v>5.618002082436924E-3</v>
      </c>
      <c r="S3" s="5">
        <v>7.9245343651090927E-3</v>
      </c>
      <c r="T3" s="73">
        <f>AVERAGE(S3:S12)</f>
        <v>9.3920958969123114E-3</v>
      </c>
    </row>
    <row r="4" spans="1:20" ht="15.75" thickBot="1" x14ac:dyDescent="0.3">
      <c r="A4" s="69">
        <v>2018</v>
      </c>
      <c r="B4" s="70">
        <v>1.12E-2</v>
      </c>
      <c r="C4" s="69" t="s">
        <v>276</v>
      </c>
      <c r="D4" s="5">
        <f>AVERAGE(B2:B16)</f>
        <v>1.6180000000000003E-2</v>
      </c>
      <c r="F4" s="69" t="s">
        <v>281</v>
      </c>
      <c r="G4" s="5">
        <f>AVERAGE(B3:B17)</f>
        <v>2.1046666666666665E-2</v>
      </c>
      <c r="H4" s="5"/>
      <c r="I4">
        <v>1.3260347697431785</v>
      </c>
      <c r="J4" s="5">
        <f>I4/100</f>
        <v>1.3260347697431785E-2</v>
      </c>
      <c r="K4" s="5">
        <f>AVERAGE(J3:J17)</f>
        <v>1.8286349286593315E-2</v>
      </c>
      <c r="L4">
        <v>0.69019538052679241</v>
      </c>
      <c r="M4" s="5">
        <f>L4/100</f>
        <v>6.9019538052679241E-3</v>
      </c>
      <c r="N4" s="5">
        <f>AVERAGE(M3:M17)</f>
        <v>1.1257315497605955E-2</v>
      </c>
      <c r="P4" s="5">
        <v>-3.7346464429900417E-3</v>
      </c>
      <c r="Q4" s="5">
        <f>AVERAGE(P3:P17)</f>
        <v>7.3455454435219876E-3</v>
      </c>
      <c r="S4" s="5">
        <v>4.0160226770438179E-3</v>
      </c>
      <c r="T4" s="5">
        <f>AVERAGE(S3:S17)</f>
        <v>9.8548660794116165E-3</v>
      </c>
    </row>
    <row r="5" spans="1:20" ht="15.75" thickBot="1" x14ac:dyDescent="0.3">
      <c r="A5" s="69">
        <v>2017</v>
      </c>
      <c r="B5" s="70">
        <v>1.06E-2</v>
      </c>
      <c r="C5" s="69" t="s">
        <v>277</v>
      </c>
      <c r="D5" s="5">
        <f>AVERAGE(B2:B21)</f>
        <v>1.9405000000000006E-2</v>
      </c>
      <c r="F5" s="72" t="s">
        <v>282</v>
      </c>
      <c r="G5" s="73">
        <f>AVERAGE(B3:B22)</f>
        <v>2.3650000000000001E-2</v>
      </c>
      <c r="H5" s="5"/>
      <c r="I5">
        <v>1.6648773546175555</v>
      </c>
      <c r="J5" s="5">
        <f t="shared" ref="J5:J12" si="0">I5/100</f>
        <v>1.6648773546175555E-2</v>
      </c>
      <c r="K5" s="73">
        <f>AVERAGE(J3:J22)</f>
        <v>2.100922480688746E-2</v>
      </c>
      <c r="L5">
        <v>1.0407278256887142</v>
      </c>
      <c r="M5" s="5">
        <f t="shared" ref="M5:M19" si="1">L5/100</f>
        <v>1.0407278256887142E-2</v>
      </c>
      <c r="N5" s="73">
        <f>AVERAGE(M3:M22)</f>
        <v>1.367413992812451E-2</v>
      </c>
      <c r="P5" s="5">
        <v>5.8090559093533223E-3</v>
      </c>
      <c r="Q5" s="73">
        <f>AVERAGE(P3:P22)</f>
        <v>8.5504485478359125E-3</v>
      </c>
      <c r="S5" s="5">
        <v>7.6644314078717635E-3</v>
      </c>
      <c r="T5" s="73">
        <f>AVERAGE(S3:S21)</f>
        <v>1.1015785263941091E-2</v>
      </c>
    </row>
    <row r="6" spans="1:20" ht="15.75" thickBot="1" x14ac:dyDescent="0.3">
      <c r="A6" s="69">
        <v>2016</v>
      </c>
      <c r="B6" s="70">
        <v>-3.3099999999999997E-2</v>
      </c>
      <c r="C6" s="69" t="s">
        <v>278</v>
      </c>
      <c r="D6" s="5">
        <f>AVERAGE(B2:B26)</f>
        <v>1.9844000000000004E-2</v>
      </c>
      <c r="F6" s="69" t="s">
        <v>283</v>
      </c>
      <c r="G6" s="5">
        <f>AVERAGE(B3:B27)</f>
        <v>2.3172000000000002E-2</v>
      </c>
      <c r="H6" s="5"/>
      <c r="I6">
        <v>-1.9951042812218156</v>
      </c>
      <c r="J6" s="5">
        <f t="shared" si="0"/>
        <v>-1.9951042812218156E-2</v>
      </c>
      <c r="K6" s="5"/>
      <c r="L6">
        <v>-2.6142817247487793</v>
      </c>
      <c r="M6" s="5">
        <f t="shared" si="1"/>
        <v>-2.6142817247487793E-2</v>
      </c>
      <c r="P6" s="5">
        <v>6.155464003935851E-3</v>
      </c>
      <c r="S6" s="5">
        <v>7.9764139071039075E-3</v>
      </c>
    </row>
    <row r="7" spans="1:20" ht="15.75" thickBot="1" x14ac:dyDescent="0.3">
      <c r="A7" s="69">
        <v>2015</v>
      </c>
      <c r="B7" s="70">
        <v>-3.5499999999999997E-2</v>
      </c>
      <c r="C7" s="69" t="s">
        <v>279</v>
      </c>
      <c r="D7" s="5">
        <f>AVERAGE(B2:B31)</f>
        <v>2.1696666666666673E-2</v>
      </c>
      <c r="F7" s="69" t="s">
        <v>284</v>
      </c>
      <c r="G7" s="5">
        <f>AVERAGE(B3:B32)</f>
        <v>2.1613333333333335E-2</v>
      </c>
      <c r="H7" s="5"/>
      <c r="I7">
        <v>-4.2636030889757421</v>
      </c>
      <c r="J7" s="5">
        <f t="shared" si="0"/>
        <v>-4.2636030889757419E-2</v>
      </c>
      <c r="K7" s="5"/>
      <c r="L7">
        <v>-4.9143043535744617</v>
      </c>
      <c r="M7" s="5">
        <f t="shared" si="1"/>
        <v>-4.914304353574462E-2</v>
      </c>
      <c r="P7" s="5">
        <v>6.5112071193647036E-3</v>
      </c>
      <c r="S7" s="5">
        <v>8.2956005773715535E-3</v>
      </c>
    </row>
    <row r="8" spans="1:20" ht="15.75" thickBot="1" x14ac:dyDescent="0.3">
      <c r="A8" s="69">
        <v>2014</v>
      </c>
      <c r="B8" s="70">
        <v>5.0000000000000001E-3</v>
      </c>
      <c r="C8" s="69"/>
      <c r="I8">
        <v>-0.70053751611712789</v>
      </c>
      <c r="J8" s="5">
        <f t="shared" si="0"/>
        <v>-7.0053751611712789E-3</v>
      </c>
      <c r="L8">
        <v>-1.3653363560506393</v>
      </c>
      <c r="M8" s="5">
        <f t="shared" si="1"/>
        <v>-1.3653363560506393E-2</v>
      </c>
      <c r="P8" s="5">
        <v>6.8342916035637469E-3</v>
      </c>
      <c r="S8" s="5">
        <v>8.6346543577977553E-3</v>
      </c>
    </row>
    <row r="9" spans="1:20" ht="15.75" thickBot="1" x14ac:dyDescent="0.3">
      <c r="A9" s="69">
        <v>2013</v>
      </c>
      <c r="B9" s="70">
        <v>0.03</v>
      </c>
      <c r="C9" s="69"/>
      <c r="I9">
        <v>0.46625536475386475</v>
      </c>
      <c r="J9" s="5">
        <f t="shared" si="0"/>
        <v>4.6625536475386475E-3</v>
      </c>
      <c r="L9">
        <v>-0.20507389494249795</v>
      </c>
      <c r="M9" s="5">
        <f t="shared" si="1"/>
        <v>-2.0507389494249795E-3</v>
      </c>
      <c r="P9" s="5">
        <v>3.7170065955079545E-2</v>
      </c>
      <c r="S9" s="5">
        <v>3.6534889247976876E-2</v>
      </c>
    </row>
    <row r="10" spans="1:20" ht="15.75" thickBot="1" x14ac:dyDescent="0.3">
      <c r="A10" s="69">
        <v>2012</v>
      </c>
      <c r="B10" s="70">
        <v>1.9199999999999998E-2</v>
      </c>
      <c r="C10" s="69"/>
      <c r="I10">
        <v>3.3258857321904367</v>
      </c>
      <c r="J10" s="5">
        <f t="shared" si="0"/>
        <v>3.3258857321904367E-2</v>
      </c>
      <c r="L10">
        <v>2.6159084827349632</v>
      </c>
      <c r="M10" s="5">
        <f t="shared" si="1"/>
        <v>2.6159084827349632E-2</v>
      </c>
      <c r="P10" s="5">
        <v>6.4186182354326604E-3</v>
      </c>
      <c r="S10" s="5">
        <v>8.148481182384204E-3</v>
      </c>
    </row>
    <row r="11" spans="1:20" ht="15.75" thickBot="1" x14ac:dyDescent="0.3">
      <c r="A11" s="69">
        <v>2011</v>
      </c>
      <c r="B11" s="70">
        <v>3.9699999999999999E-2</v>
      </c>
      <c r="C11" s="69"/>
      <c r="I11">
        <v>2.4803745440470371</v>
      </c>
      <c r="J11" s="5">
        <f t="shared" si="0"/>
        <v>2.4803745440470371E-2</v>
      </c>
      <c r="L11">
        <v>1.7729770634247188</v>
      </c>
      <c r="M11" s="5">
        <f t="shared" si="1"/>
        <v>1.7729770634247188E-2</v>
      </c>
      <c r="P11" s="5">
        <v>6.8073435330875398E-3</v>
      </c>
      <c r="S11" s="5">
        <v>8.5528196372115506E-3</v>
      </c>
    </row>
    <row r="12" spans="1:20" ht="15.75" thickBot="1" x14ac:dyDescent="0.3">
      <c r="A12" s="69">
        <v>2010</v>
      </c>
      <c r="B12" s="70">
        <v>7.5300000000000006E-2</v>
      </c>
      <c r="C12" s="69"/>
      <c r="I12">
        <v>9.0840869568311824</v>
      </c>
      <c r="J12" s="5">
        <f t="shared" si="0"/>
        <v>9.0840869568311819E-2</v>
      </c>
      <c r="L12">
        <v>8.3676909539533995</v>
      </c>
      <c r="M12" s="5">
        <f t="shared" si="1"/>
        <v>8.3676909539533995E-2</v>
      </c>
      <c r="P12" s="5">
        <v>-2.1880968859167793E-2</v>
      </c>
      <c r="S12" s="5">
        <v>-3.8268883907474072E-3</v>
      </c>
    </row>
    <row r="13" spans="1:20" ht="15.75" thickBot="1" x14ac:dyDescent="0.3">
      <c r="A13" s="69">
        <v>2009</v>
      </c>
      <c r="B13" s="70">
        <v>-1.2999999999999999E-3</v>
      </c>
      <c r="C13" s="69"/>
      <c r="I13">
        <v>-3.9221932895638689</v>
      </c>
      <c r="J13" s="5">
        <f>I13/100</f>
        <v>-3.9221932895638689E-2</v>
      </c>
      <c r="L13">
        <v>-4.5850138799854339</v>
      </c>
      <c r="M13" s="5">
        <f t="shared" si="1"/>
        <v>-4.5850138799854341E-2</v>
      </c>
      <c r="P13" s="5">
        <v>9.2489840842895354E-3</v>
      </c>
      <c r="S13" s="5">
        <v>9.8506844584880238E-3</v>
      </c>
    </row>
    <row r="14" spans="1:20" ht="15.75" thickBot="1" x14ac:dyDescent="0.3">
      <c r="A14" s="69">
        <v>2008</v>
      </c>
      <c r="B14" s="70">
        <v>5.0900000000000001E-2</v>
      </c>
      <c r="C14" s="69"/>
      <c r="I14">
        <v>4.6788565918910452</v>
      </c>
      <c r="J14" s="5">
        <f t="shared" ref="J14:J19" si="2">I14/100</f>
        <v>4.6788565918910452E-2</v>
      </c>
      <c r="L14">
        <v>3.9438035597064935</v>
      </c>
      <c r="M14" s="5">
        <f t="shared" si="1"/>
        <v>3.9438035597064935E-2</v>
      </c>
      <c r="P14" s="5">
        <v>2.9913508851750148E-2</v>
      </c>
      <c r="S14" s="5">
        <v>3.0562051374709798E-2</v>
      </c>
    </row>
    <row r="15" spans="1:20" ht="15.75" thickBot="1" x14ac:dyDescent="0.3">
      <c r="A15" s="69">
        <v>2007</v>
      </c>
      <c r="B15" s="70">
        <v>6.0699999999999997E-2</v>
      </c>
      <c r="C15" s="69"/>
      <c r="I15">
        <v>5.5249148749756838</v>
      </c>
      <c r="J15" s="5">
        <f t="shared" si="2"/>
        <v>5.5249148749756838E-2</v>
      </c>
      <c r="L15">
        <v>4.7683665076496018</v>
      </c>
      <c r="M15" s="5">
        <f t="shared" si="1"/>
        <v>4.7683665076496018E-2</v>
      </c>
      <c r="P15" s="5">
        <v>-1.056621173718475E-2</v>
      </c>
      <c r="S15" s="5">
        <v>-1.4889129048077709E-2</v>
      </c>
    </row>
    <row r="16" spans="1:20" ht="15.75" thickBot="1" x14ac:dyDescent="0.3">
      <c r="A16" s="69">
        <v>2006</v>
      </c>
      <c r="B16" s="70">
        <v>3.9600000000000003E-2</v>
      </c>
      <c r="C16" s="69"/>
      <c r="I16">
        <v>3.909634627378189</v>
      </c>
      <c r="J16" s="5">
        <f t="shared" si="2"/>
        <v>3.909634627378189E-2</v>
      </c>
      <c r="L16">
        <v>3.0931499239507554</v>
      </c>
      <c r="M16" s="5">
        <f t="shared" si="1"/>
        <v>3.0931499239507554E-2</v>
      </c>
      <c r="P16" s="5">
        <v>1.2574743534096156E-2</v>
      </c>
      <c r="S16" s="5">
        <v>1.4041905338883831E-2</v>
      </c>
    </row>
    <row r="17" spans="1:19" ht="15.75" thickBot="1" x14ac:dyDescent="0.3">
      <c r="A17" s="69">
        <v>2005</v>
      </c>
      <c r="B17" s="70">
        <v>3.2000000000000001E-2</v>
      </c>
      <c r="C17" s="69"/>
      <c r="I17">
        <v>4.0214063606810235</v>
      </c>
      <c r="J17" s="5">
        <f t="shared" si="2"/>
        <v>4.0214063606810235E-2</v>
      </c>
      <c r="L17">
        <v>3.1514322083147084</v>
      </c>
      <c r="M17" s="5">
        <f t="shared" si="1"/>
        <v>3.1514322083147084E-2</v>
      </c>
      <c r="P17" s="5">
        <v>1.2832136095509483E-2</v>
      </c>
      <c r="S17" s="5">
        <v>1.4336520098047201E-2</v>
      </c>
    </row>
    <row r="18" spans="1:19" ht="15.75" thickBot="1" x14ac:dyDescent="0.3">
      <c r="A18" s="69">
        <v>2004</v>
      </c>
      <c r="B18" s="70">
        <v>5.7599999999999998E-2</v>
      </c>
      <c r="C18" s="69"/>
      <c r="I18">
        <v>5.8869897680954963</v>
      </c>
      <c r="J18" s="5">
        <f t="shared" si="2"/>
        <v>5.8869897680954963E-2</v>
      </c>
      <c r="L18">
        <v>4.9517335802504725</v>
      </c>
      <c r="M18" s="5">
        <f t="shared" si="1"/>
        <v>4.9517335802504725E-2</v>
      </c>
      <c r="P18" s="5">
        <v>2.3737432971536299E-2</v>
      </c>
      <c r="S18" s="5">
        <v>2.6627176665048546E-2</v>
      </c>
    </row>
    <row r="19" spans="1:19" ht="15.75" thickBot="1" x14ac:dyDescent="0.3">
      <c r="A19" s="69">
        <v>2003</v>
      </c>
      <c r="B19" s="70">
        <v>1.14E-2</v>
      </c>
      <c r="C19" s="69"/>
      <c r="I19">
        <v>2.1268809216937967</v>
      </c>
      <c r="J19" s="5">
        <f t="shared" si="2"/>
        <v>2.1268809216937967E-2</v>
      </c>
      <c r="L19">
        <v>1.1666486081004068</v>
      </c>
      <c r="M19" s="5">
        <f t="shared" si="1"/>
        <v>1.1666486081004068E-2</v>
      </c>
      <c r="P19" s="5">
        <v>1.1437010688844396E-2</v>
      </c>
      <c r="S19" s="5">
        <v>1.2818181630775749E-2</v>
      </c>
    </row>
    <row r="20" spans="1:19" ht="15.75" thickBot="1" x14ac:dyDescent="0.3">
      <c r="A20" s="69">
        <v>2002</v>
      </c>
      <c r="B20" s="70">
        <v>3.0499999999999999E-2</v>
      </c>
      <c r="C20" s="69"/>
    </row>
    <row r="21" spans="1:19" ht="15.75" thickBot="1" x14ac:dyDescent="0.3">
      <c r="A21" s="69">
        <v>2001</v>
      </c>
      <c r="B21" s="70">
        <v>1.3899999999999999E-2</v>
      </c>
      <c r="C21" s="69"/>
    </row>
    <row r="22" spans="1:19" ht="15.75" thickBot="1" x14ac:dyDescent="0.3">
      <c r="A22" s="69">
        <v>2000</v>
      </c>
      <c r="B22" s="70">
        <v>4.3900000000000002E-2</v>
      </c>
      <c r="C22" s="69"/>
    </row>
    <row r="23" spans="1:19" ht="15.75" thickBot="1" x14ac:dyDescent="0.3">
      <c r="A23" s="69">
        <v>1999</v>
      </c>
      <c r="B23" s="70">
        <v>4.7000000000000002E-3</v>
      </c>
      <c r="C23" s="69"/>
    </row>
    <row r="24" spans="1:19" ht="15.75" thickBot="1" x14ac:dyDescent="0.3">
      <c r="A24" s="69">
        <v>1998</v>
      </c>
      <c r="B24" s="70">
        <v>3.3999999999999998E-3</v>
      </c>
      <c r="C24" s="69"/>
    </row>
    <row r="25" spans="1:19" ht="15.75" thickBot="1" x14ac:dyDescent="0.3">
      <c r="A25" s="69">
        <v>1997</v>
      </c>
      <c r="B25" s="70">
        <v>3.39E-2</v>
      </c>
      <c r="C25" s="69"/>
    </row>
    <row r="26" spans="1:19" ht="15.75" thickBot="1" x14ac:dyDescent="0.3">
      <c r="A26" s="69">
        <v>1996</v>
      </c>
      <c r="B26" s="70">
        <v>2.2100000000000002E-2</v>
      </c>
      <c r="C26" s="69"/>
    </row>
    <row r="27" spans="1:19" ht="15.75" thickBot="1" x14ac:dyDescent="0.3">
      <c r="A27" s="69">
        <v>1995</v>
      </c>
      <c r="B27" s="70">
        <v>4.2200000000000001E-2</v>
      </c>
      <c r="C27" s="69"/>
    </row>
    <row r="28" spans="1:19" ht="15.75" thickBot="1" x14ac:dyDescent="0.3">
      <c r="A28" s="69">
        <v>1994</v>
      </c>
      <c r="B28" s="70">
        <v>5.8500000000000003E-2</v>
      </c>
      <c r="C28" s="69"/>
    </row>
    <row r="29" spans="1:19" ht="15.75" thickBot="1" x14ac:dyDescent="0.3">
      <c r="A29" s="69">
        <v>1993</v>
      </c>
      <c r="B29" s="70">
        <v>4.9200000000000001E-2</v>
      </c>
      <c r="C29" s="69"/>
    </row>
    <row r="30" spans="1:19" ht="15.75" thickBot="1" x14ac:dyDescent="0.3">
      <c r="A30" s="69">
        <v>1992</v>
      </c>
      <c r="B30" s="70">
        <v>-5.4000000000000003E-3</v>
      </c>
      <c r="C30" s="69"/>
    </row>
    <row r="31" spans="1:19" ht="15.75" thickBot="1" x14ac:dyDescent="0.3">
      <c r="A31" s="69">
        <v>1991</v>
      </c>
      <c r="B31" s="70">
        <v>1.03E-2</v>
      </c>
      <c r="C31" s="69"/>
    </row>
    <row r="32" spans="1:19" ht="15.75" thickBot="1" x14ac:dyDescent="0.3">
      <c r="A32" s="69">
        <v>1990</v>
      </c>
      <c r="B32" s="70">
        <v>-4.3499999999999997E-2</v>
      </c>
      <c r="C32" s="69"/>
    </row>
    <row r="33" spans="1:3" ht="15.75" thickBot="1" x14ac:dyDescent="0.3">
      <c r="A33" s="69">
        <v>1989</v>
      </c>
      <c r="B33" s="70">
        <v>3.1600000000000003E-2</v>
      </c>
      <c r="C33" s="69"/>
    </row>
    <row r="34" spans="1:3" ht="15.75" thickBot="1" x14ac:dyDescent="0.3">
      <c r="A34" s="69">
        <v>1988</v>
      </c>
      <c r="B34" s="70">
        <v>-5.9999999999999995E-4</v>
      </c>
      <c r="C34" s="69"/>
    </row>
    <row r="35" spans="1:3" ht="15.75" thickBot="1" x14ac:dyDescent="0.3">
      <c r="A35" s="69">
        <v>1987</v>
      </c>
      <c r="B35" s="70">
        <v>3.5299999999999998E-2</v>
      </c>
      <c r="C35" s="69"/>
    </row>
    <row r="36" spans="1:3" ht="15.75" thickBot="1" x14ac:dyDescent="0.3">
      <c r="A36" s="69">
        <v>1986</v>
      </c>
      <c r="B36" s="70">
        <v>7.4899999999999994E-2</v>
      </c>
      <c r="C36" s="69"/>
    </row>
    <row r="37" spans="1:3" ht="15.75" thickBot="1" x14ac:dyDescent="0.3">
      <c r="A37" s="69">
        <v>1985</v>
      </c>
      <c r="B37" s="70">
        <v>7.85E-2</v>
      </c>
      <c r="C37" s="69"/>
    </row>
    <row r="38" spans="1:3" ht="15.75" thickBot="1" x14ac:dyDescent="0.3">
      <c r="A38" s="69">
        <v>1984</v>
      </c>
      <c r="B38" s="70">
        <v>5.3999999999999999E-2</v>
      </c>
      <c r="C38" s="69"/>
    </row>
    <row r="39" spans="1:3" ht="15.75" thickBot="1" x14ac:dyDescent="0.3">
      <c r="A39" s="69">
        <v>1983</v>
      </c>
      <c r="B39" s="70">
        <v>-2.93E-2</v>
      </c>
      <c r="C39" s="69"/>
    </row>
    <row r="40" spans="1:3" ht="15.75" thickBot="1" x14ac:dyDescent="0.3">
      <c r="A40" s="69">
        <v>1982</v>
      </c>
      <c r="B40" s="70">
        <v>8.3000000000000001E-3</v>
      </c>
      <c r="C40" s="69"/>
    </row>
    <row r="41" spans="1:3" ht="15.75" thickBot="1" x14ac:dyDescent="0.3">
      <c r="A41" s="69">
        <v>1981</v>
      </c>
      <c r="B41" s="70">
        <v>-4.2500000000000003E-2</v>
      </c>
      <c r="C41" s="69"/>
    </row>
    <row r="42" spans="1:3" ht="15.75" thickBot="1" x14ac:dyDescent="0.3">
      <c r="A42" s="69">
        <v>1980</v>
      </c>
      <c r="B42" s="70">
        <v>9.2299999999999993E-2</v>
      </c>
      <c r="C42" s="69"/>
    </row>
    <row r="43" spans="1:3" ht="15.75" thickBot="1" x14ac:dyDescent="0.3">
      <c r="A43" s="69">
        <v>1979</v>
      </c>
      <c r="B43" s="70">
        <v>6.7599999999999993E-2</v>
      </c>
      <c r="C43" s="69"/>
    </row>
    <row r="44" spans="1:3" ht="15.75" thickBot="1" x14ac:dyDescent="0.3">
      <c r="A44" s="69">
        <v>1978</v>
      </c>
      <c r="B44" s="70">
        <v>4.9700000000000001E-2</v>
      </c>
      <c r="C44" s="69"/>
    </row>
    <row r="45" spans="1:3" ht="15.75" thickBot="1" x14ac:dyDescent="0.3">
      <c r="A45" s="69">
        <v>1977</v>
      </c>
      <c r="B45" s="70">
        <v>4.9299999999999997E-2</v>
      </c>
      <c r="C45" s="69"/>
    </row>
    <row r="46" spans="1:3" ht="15.75" thickBot="1" x14ac:dyDescent="0.3">
      <c r="A46" s="69">
        <v>1976</v>
      </c>
      <c r="B46" s="70">
        <v>0.1026</v>
      </c>
      <c r="C46" s="69"/>
    </row>
    <row r="47" spans="1:3" ht="15.75" thickBot="1" x14ac:dyDescent="0.3">
      <c r="A47" s="69">
        <v>1975</v>
      </c>
      <c r="B47" s="70">
        <v>5.1700000000000003E-2</v>
      </c>
      <c r="C47" s="69"/>
    </row>
    <row r="48" spans="1:3" ht="15.75" thickBot="1" x14ac:dyDescent="0.3">
      <c r="A48" s="69">
        <v>1974</v>
      </c>
      <c r="B48" s="70">
        <v>8.1500000000000003E-2</v>
      </c>
      <c r="C48" s="69"/>
    </row>
    <row r="49" spans="1:3" ht="15.75" thickBot="1" x14ac:dyDescent="0.3">
      <c r="A49" s="69">
        <v>1973</v>
      </c>
      <c r="B49" s="70">
        <v>0.13969999999999999</v>
      </c>
      <c r="C49" s="69"/>
    </row>
    <row r="50" spans="1:3" ht="15.75" thickBot="1" x14ac:dyDescent="0.3">
      <c r="A50" s="69">
        <v>1972</v>
      </c>
      <c r="B50" s="70">
        <v>0.11940000000000001</v>
      </c>
      <c r="C50" s="69"/>
    </row>
    <row r="51" spans="1:3" ht="15.75" thickBot="1" x14ac:dyDescent="0.3">
      <c r="A51" s="69">
        <v>1971</v>
      </c>
      <c r="B51" s="70">
        <v>0.1134</v>
      </c>
      <c r="C51" s="69"/>
    </row>
    <row r="52" spans="1:3" ht="15.75" thickBot="1" x14ac:dyDescent="0.3">
      <c r="A52" s="69">
        <v>1970</v>
      </c>
      <c r="B52" s="70">
        <v>0.104</v>
      </c>
      <c r="C52" s="69"/>
    </row>
    <row r="53" spans="1:3" ht="15.75" thickBot="1" x14ac:dyDescent="0.3">
      <c r="A53" s="69">
        <v>1969</v>
      </c>
      <c r="B53" s="70">
        <v>9.5000000000000001E-2</v>
      </c>
      <c r="C53" s="69"/>
    </row>
    <row r="54" spans="1:3" ht="15.75" thickBot="1" x14ac:dyDescent="0.3">
      <c r="A54" s="69">
        <v>1968</v>
      </c>
      <c r="B54" s="70">
        <v>9.8000000000000004E-2</v>
      </c>
      <c r="C54" s="69"/>
    </row>
    <row r="55" spans="1:3" ht="15.75" thickBot="1" x14ac:dyDescent="0.3">
      <c r="A55" s="69">
        <v>1967</v>
      </c>
      <c r="B55" s="70">
        <v>4.2000000000000003E-2</v>
      </c>
      <c r="C55" s="69"/>
    </row>
    <row r="56" spans="1:3" ht="15.75" thickBot="1" x14ac:dyDescent="0.3">
      <c r="A56" s="69">
        <v>1966</v>
      </c>
      <c r="B56" s="70">
        <v>6.7000000000000004E-2</v>
      </c>
      <c r="C56" s="69"/>
    </row>
    <row r="57" spans="1:3" ht="15.75" thickBot="1" x14ac:dyDescent="0.3">
      <c r="A57" s="69">
        <v>1965</v>
      </c>
      <c r="B57" s="70">
        <v>2.4E-2</v>
      </c>
      <c r="C57" s="69"/>
    </row>
    <row r="58" spans="1:3" ht="15.75" thickBot="1" x14ac:dyDescent="0.3">
      <c r="A58" s="69">
        <v>1964</v>
      </c>
      <c r="B58" s="70">
        <v>3.4000000000000002E-2</v>
      </c>
      <c r="C58" s="69"/>
    </row>
    <row r="59" spans="1:3" ht="15.75" thickBot="1" x14ac:dyDescent="0.3">
      <c r="A59" s="69">
        <v>1963</v>
      </c>
      <c r="B59" s="70">
        <v>6.0000000000000001E-3</v>
      </c>
      <c r="C59" s="69"/>
    </row>
    <row r="60" spans="1:3" x14ac:dyDescent="0.25">
      <c r="A60" s="69">
        <v>1962</v>
      </c>
      <c r="B60" s="70">
        <v>6.6000000000000003E-2</v>
      </c>
      <c r="C60" s="69"/>
    </row>
  </sheetData>
  <pageMargins left="0.511811024" right="0.511811024" top="0.78740157499999996" bottom="0.78740157499999996" header="0.31496062000000002" footer="0.3149606200000000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7305B-E326-4D71-901F-60E3A8BFB837}">
  <dimension ref="A1:B28"/>
  <sheetViews>
    <sheetView zoomScale="90" zoomScaleNormal="90" workbookViewId="0">
      <selection activeCell="N1" sqref="N1"/>
    </sheetView>
  </sheetViews>
  <sheetFormatPr defaultRowHeight="15" x14ac:dyDescent="0.25"/>
  <cols>
    <col min="1" max="1" width="24.42578125" customWidth="1"/>
    <col min="2" max="2" width="14.28515625" bestFit="1" customWidth="1"/>
  </cols>
  <sheetData>
    <row r="1" spans="1:2" ht="15.75" thickBot="1" x14ac:dyDescent="0.3">
      <c r="A1" s="42" t="s">
        <v>45</v>
      </c>
      <c r="B1" s="43">
        <v>15331</v>
      </c>
    </row>
    <row r="2" spans="1:2" ht="15.75" thickBot="1" x14ac:dyDescent="0.3">
      <c r="A2" s="42" t="s">
        <v>46</v>
      </c>
      <c r="B2" s="43">
        <v>54413</v>
      </c>
    </row>
    <row r="3" spans="1:2" ht="15.75" thickBot="1" x14ac:dyDescent="0.3">
      <c r="A3" s="42" t="s">
        <v>47</v>
      </c>
      <c r="B3" s="43">
        <v>16795</v>
      </c>
    </row>
    <row r="4" spans="1:2" ht="15.75" thickBot="1" x14ac:dyDescent="0.3">
      <c r="A4" s="42" t="s">
        <v>48</v>
      </c>
      <c r="B4" s="43">
        <v>100109</v>
      </c>
    </row>
    <row r="5" spans="1:2" ht="15.75" thickBot="1" x14ac:dyDescent="0.3">
      <c r="A5" s="42" t="s">
        <v>49</v>
      </c>
      <c r="B5" s="43">
        <v>286240</v>
      </c>
    </row>
    <row r="6" spans="1:2" ht="15.75" thickBot="1" x14ac:dyDescent="0.3">
      <c r="A6" s="42" t="s">
        <v>50</v>
      </c>
      <c r="B6" s="43">
        <v>155904</v>
      </c>
    </row>
    <row r="7" spans="1:2" ht="15.75" thickBot="1" x14ac:dyDescent="0.3">
      <c r="A7" s="42" t="s">
        <v>51</v>
      </c>
      <c r="B7" s="43">
        <v>254817</v>
      </c>
    </row>
    <row r="8" spans="1:2" ht="15.75" thickBot="1" x14ac:dyDescent="0.3">
      <c r="A8" s="42" t="s">
        <v>52</v>
      </c>
      <c r="B8" s="43">
        <v>137020</v>
      </c>
    </row>
    <row r="9" spans="1:2" ht="15.75" thickBot="1" x14ac:dyDescent="0.3">
      <c r="A9" s="42" t="s">
        <v>53</v>
      </c>
      <c r="B9" s="43">
        <v>195682</v>
      </c>
    </row>
    <row r="10" spans="1:2" ht="15.75" thickBot="1" x14ac:dyDescent="0.3">
      <c r="A10" s="42" t="s">
        <v>54</v>
      </c>
      <c r="B10" s="43">
        <v>98179</v>
      </c>
    </row>
    <row r="11" spans="1:2" ht="15.75" thickBot="1" x14ac:dyDescent="0.3">
      <c r="A11" s="42" t="s">
        <v>55</v>
      </c>
      <c r="B11" s="43">
        <v>137443</v>
      </c>
    </row>
    <row r="12" spans="1:2" ht="15.75" thickBot="1" x14ac:dyDescent="0.3">
      <c r="A12" s="42" t="s">
        <v>56</v>
      </c>
      <c r="B12" s="43">
        <v>106969</v>
      </c>
    </row>
    <row r="13" spans="1:2" ht="15.75" thickBot="1" x14ac:dyDescent="0.3">
      <c r="A13" s="42" t="s">
        <v>57</v>
      </c>
      <c r="B13" s="43">
        <v>614876</v>
      </c>
    </row>
    <row r="14" spans="1:2" ht="15.75" thickBot="1" x14ac:dyDescent="0.3">
      <c r="A14" s="42" t="s">
        <v>58</v>
      </c>
      <c r="B14" s="43">
        <v>440029</v>
      </c>
    </row>
    <row r="15" spans="1:2" ht="15.75" thickBot="1" x14ac:dyDescent="0.3">
      <c r="A15" s="42" t="s">
        <v>59</v>
      </c>
      <c r="B15" s="43">
        <v>64374</v>
      </c>
    </row>
    <row r="16" spans="1:2" ht="15.75" thickBot="1" x14ac:dyDescent="0.3">
      <c r="A16" s="42" t="s">
        <v>60</v>
      </c>
      <c r="B16" s="43">
        <v>161350</v>
      </c>
    </row>
    <row r="17" spans="1:2" ht="15.75" thickBot="1" x14ac:dyDescent="0.3">
      <c r="A17" s="42" t="s">
        <v>61</v>
      </c>
      <c r="B17" s="43">
        <v>186352</v>
      </c>
    </row>
    <row r="18" spans="1:2" ht="15.75" thickBot="1" x14ac:dyDescent="0.3">
      <c r="A18" s="42" t="s">
        <v>62</v>
      </c>
      <c r="B18" s="43">
        <v>50378</v>
      </c>
    </row>
    <row r="19" spans="1:2" ht="15.75" thickBot="1" x14ac:dyDescent="0.3">
      <c r="A19" s="42" t="s">
        <v>63</v>
      </c>
      <c r="B19" s="43">
        <v>758859</v>
      </c>
    </row>
    <row r="20" spans="1:2" ht="15.75" thickBot="1" x14ac:dyDescent="0.3">
      <c r="A20" s="42" t="s">
        <v>64</v>
      </c>
      <c r="B20" s="43">
        <v>66970</v>
      </c>
    </row>
    <row r="21" spans="1:2" ht="15.75" thickBot="1" x14ac:dyDescent="0.3">
      <c r="A21" s="42" t="s">
        <v>65</v>
      </c>
      <c r="B21" s="43">
        <v>457294</v>
      </c>
    </row>
    <row r="22" spans="1:2" ht="15.75" thickBot="1" x14ac:dyDescent="0.3">
      <c r="A22" s="42" t="s">
        <v>66</v>
      </c>
      <c r="B22" s="43">
        <v>44914</v>
      </c>
    </row>
    <row r="23" spans="1:2" ht="15.75" thickBot="1" x14ac:dyDescent="0.3">
      <c r="A23" s="42" t="s">
        <v>67</v>
      </c>
      <c r="B23" s="43">
        <v>13370</v>
      </c>
    </row>
    <row r="24" spans="1:2" ht="15.75" thickBot="1" x14ac:dyDescent="0.3">
      <c r="A24" s="42" t="s">
        <v>68</v>
      </c>
      <c r="B24" s="43">
        <v>298227</v>
      </c>
    </row>
    <row r="25" spans="1:2" ht="15.75" thickBot="1" x14ac:dyDescent="0.3">
      <c r="A25" s="42" t="s">
        <v>69</v>
      </c>
      <c r="B25" s="43">
        <v>42018</v>
      </c>
    </row>
    <row r="26" spans="1:2" ht="15.75" thickBot="1" x14ac:dyDescent="0.3">
      <c r="A26" s="42" t="s">
        <v>70</v>
      </c>
      <c r="B26" s="43">
        <v>2210562</v>
      </c>
    </row>
    <row r="27" spans="1:2" ht="15.75" thickBot="1" x14ac:dyDescent="0.3">
      <c r="A27" s="42" t="s">
        <v>71</v>
      </c>
      <c r="B27" s="43">
        <v>35666</v>
      </c>
    </row>
    <row r="28" spans="1:2" x14ac:dyDescent="0.25">
      <c r="B28" s="2">
        <f>SUM(B1:B27)</f>
        <v>7004141</v>
      </c>
    </row>
  </sheetData>
  <pageMargins left="0.511811024" right="0.511811024" top="0.78740157499999996" bottom="0.78740157499999996" header="0.31496062000000002" footer="0.3149606200000000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30DD9-FBD0-44E9-B353-79EA33003949}">
  <dimension ref="A1:K64"/>
  <sheetViews>
    <sheetView zoomScaleNormal="100" workbookViewId="0">
      <pane xSplit="1" ySplit="1" topLeftCell="B2" activePane="bottomRight" state="frozen"/>
      <selection activeCell="N1" sqref="N1"/>
      <selection pane="topRight" activeCell="N1" sqref="N1"/>
      <selection pane="bottomLeft" activeCell="N1" sqref="N1"/>
      <selection pane="bottomRight" activeCell="N1" sqref="N1"/>
    </sheetView>
  </sheetViews>
  <sheetFormatPr defaultRowHeight="15" x14ac:dyDescent="0.25"/>
  <cols>
    <col min="1" max="1" width="11.140625" customWidth="1"/>
    <col min="2" max="8" width="20.7109375" customWidth="1"/>
  </cols>
  <sheetData>
    <row r="1" spans="1:11" ht="79.5" customHeight="1" thickBot="1" x14ac:dyDescent="0.3">
      <c r="A1" s="46" t="s">
        <v>30</v>
      </c>
      <c r="B1" s="46" t="s">
        <v>86</v>
      </c>
      <c r="C1" s="46" t="s">
        <v>87</v>
      </c>
      <c r="D1" s="47" t="s">
        <v>88</v>
      </c>
      <c r="E1" s="47" t="s">
        <v>89</v>
      </c>
      <c r="F1" s="46" t="s">
        <v>90</v>
      </c>
      <c r="G1" s="47" t="s">
        <v>91</v>
      </c>
      <c r="H1" s="47" t="s">
        <v>92</v>
      </c>
      <c r="K1" t="s">
        <v>153</v>
      </c>
    </row>
    <row r="2" spans="1:11" ht="15.75" customHeight="1" x14ac:dyDescent="0.25">
      <c r="A2" s="263">
        <v>2021</v>
      </c>
      <c r="B2" s="48">
        <v>2.8000000000000001E-2</v>
      </c>
      <c r="C2" s="269" t="s">
        <v>94</v>
      </c>
      <c r="D2" s="271" t="s">
        <v>95</v>
      </c>
      <c r="E2" s="271" t="s">
        <v>96</v>
      </c>
      <c r="F2" s="273">
        <v>4.5600000000000002E-2</v>
      </c>
      <c r="G2" s="269" t="s">
        <v>97</v>
      </c>
      <c r="H2" s="263" t="s">
        <v>98</v>
      </c>
    </row>
    <row r="3" spans="1:11" ht="15.75" thickBot="1" x14ac:dyDescent="0.3">
      <c r="A3" s="265"/>
      <c r="B3" s="49" t="s">
        <v>93</v>
      </c>
      <c r="C3" s="270"/>
      <c r="D3" s="272"/>
      <c r="E3" s="272"/>
      <c r="F3" s="274"/>
      <c r="G3" s="270"/>
      <c r="H3" s="264"/>
    </row>
    <row r="4" spans="1:11" ht="15.75" customHeight="1" x14ac:dyDescent="0.25">
      <c r="A4" s="263">
        <v>2020</v>
      </c>
      <c r="B4" s="48">
        <v>-5.8000000000000003E-2</v>
      </c>
      <c r="C4" s="269" t="s">
        <v>99</v>
      </c>
      <c r="D4" s="271" t="s">
        <v>100</v>
      </c>
      <c r="E4" s="271" t="s">
        <v>101</v>
      </c>
      <c r="F4" s="273">
        <v>5.2200000000000003E-2</v>
      </c>
      <c r="G4" s="269" t="s">
        <v>102</v>
      </c>
      <c r="H4" s="264"/>
    </row>
    <row r="5" spans="1:11" ht="15.75" thickBot="1" x14ac:dyDescent="0.3">
      <c r="A5" s="265"/>
      <c r="B5" s="49" t="s">
        <v>93</v>
      </c>
      <c r="C5" s="270"/>
      <c r="D5" s="272"/>
      <c r="E5" s="272"/>
      <c r="F5" s="274"/>
      <c r="G5" s="270"/>
      <c r="H5" s="264"/>
    </row>
    <row r="6" spans="1:11" ht="15.75" thickBot="1" x14ac:dyDescent="0.3">
      <c r="A6" s="50">
        <v>2019</v>
      </c>
      <c r="B6" s="51">
        <v>1.14E-2</v>
      </c>
      <c r="C6" s="52">
        <v>26378539800</v>
      </c>
      <c r="D6" s="53">
        <v>2347235897600</v>
      </c>
      <c r="E6" s="54" t="s">
        <v>103</v>
      </c>
      <c r="F6" s="55">
        <v>4.9000000000000002E-2</v>
      </c>
      <c r="G6" s="56" t="s">
        <v>102</v>
      </c>
      <c r="H6" s="265"/>
    </row>
    <row r="7" spans="1:11" ht="15.75" thickBot="1" x14ac:dyDescent="0.3">
      <c r="A7" s="50">
        <v>2018</v>
      </c>
      <c r="B7" s="51">
        <v>1.32E-2</v>
      </c>
      <c r="C7" s="52">
        <v>30173438300</v>
      </c>
      <c r="D7" s="53">
        <v>2320857357800</v>
      </c>
      <c r="E7" s="53">
        <v>1868626087900</v>
      </c>
      <c r="F7" s="57">
        <v>-9.01E-2</v>
      </c>
      <c r="G7" s="58" t="s">
        <v>104</v>
      </c>
      <c r="H7" s="266" t="s">
        <v>105</v>
      </c>
    </row>
    <row r="8" spans="1:11" ht="15.75" thickBot="1" x14ac:dyDescent="0.3">
      <c r="A8" s="50">
        <v>2017</v>
      </c>
      <c r="B8" s="51">
        <v>1.32E-2</v>
      </c>
      <c r="C8" s="52">
        <v>29907115500</v>
      </c>
      <c r="D8" s="53">
        <v>2290683919500</v>
      </c>
      <c r="E8" s="53">
        <v>2053594973900</v>
      </c>
      <c r="F8" s="57">
        <v>0.14319999999999999</v>
      </c>
      <c r="G8" s="58" t="s">
        <v>106</v>
      </c>
      <c r="H8" s="267"/>
    </row>
    <row r="9" spans="1:11" ht="15.75" thickBot="1" x14ac:dyDescent="0.3">
      <c r="A9" s="50">
        <v>2016</v>
      </c>
      <c r="B9" s="59">
        <v>-3.2800000000000003E-2</v>
      </c>
      <c r="C9" s="60">
        <v>-76569525800</v>
      </c>
      <c r="D9" s="53">
        <v>2260776804000</v>
      </c>
      <c r="E9" s="53">
        <v>1796275437000</v>
      </c>
      <c r="F9" s="57">
        <v>-3.3E-3</v>
      </c>
      <c r="G9" s="58" t="s">
        <v>107</v>
      </c>
      <c r="H9" s="267"/>
    </row>
    <row r="10" spans="1:11" ht="15.75" thickBot="1" x14ac:dyDescent="0.3">
      <c r="A10" s="50">
        <v>2015</v>
      </c>
      <c r="B10" s="59">
        <v>-3.5499999999999997E-2</v>
      </c>
      <c r="C10" s="60">
        <v>-85926129300</v>
      </c>
      <c r="D10" s="53">
        <v>2337346329800</v>
      </c>
      <c r="E10" s="53">
        <v>1802214373700</v>
      </c>
      <c r="F10" s="57">
        <v>-0.26619999999999999</v>
      </c>
      <c r="G10" s="58" t="s">
        <v>108</v>
      </c>
      <c r="H10" s="267"/>
    </row>
    <row r="11" spans="1:11" ht="15.75" thickBot="1" x14ac:dyDescent="0.3">
      <c r="A11" s="50">
        <v>2014</v>
      </c>
      <c r="B11" s="51">
        <v>5.0000000000000001E-3</v>
      </c>
      <c r="C11" s="52">
        <v>12151130200</v>
      </c>
      <c r="D11" s="53">
        <v>2423272459100</v>
      </c>
      <c r="E11" s="53">
        <v>2455994050100</v>
      </c>
      <c r="F11" s="57">
        <v>-6.7999999999999996E-3</v>
      </c>
      <c r="G11" s="58" t="s">
        <v>109</v>
      </c>
      <c r="H11" s="267"/>
    </row>
    <row r="12" spans="1:11" ht="15.75" thickBot="1" x14ac:dyDescent="0.3">
      <c r="A12" s="50">
        <v>2013</v>
      </c>
      <c r="B12" s="51">
        <v>0.03</v>
      </c>
      <c r="C12" s="52">
        <v>70337405200</v>
      </c>
      <c r="D12" s="53">
        <v>2411121328900</v>
      </c>
      <c r="E12" s="53">
        <v>2472806456100</v>
      </c>
      <c r="F12" s="57">
        <v>3.0999999999999999E-3</v>
      </c>
      <c r="G12" s="58" t="s">
        <v>109</v>
      </c>
      <c r="H12" s="267"/>
    </row>
    <row r="13" spans="1:11" ht="15.75" thickBot="1" x14ac:dyDescent="0.3">
      <c r="A13" s="50">
        <v>2012</v>
      </c>
      <c r="B13" s="51">
        <v>1.9199999999999998E-2</v>
      </c>
      <c r="C13" s="52">
        <v>44122321700</v>
      </c>
      <c r="D13" s="53">
        <v>2340783923700</v>
      </c>
      <c r="E13" s="53">
        <v>2465188674400</v>
      </c>
      <c r="F13" s="57">
        <v>-5.7700000000000001E-2</v>
      </c>
      <c r="G13" s="58" t="s">
        <v>110</v>
      </c>
      <c r="H13" s="267"/>
    </row>
    <row r="14" spans="1:11" ht="15.75" thickBot="1" x14ac:dyDescent="0.3">
      <c r="A14" s="50">
        <v>2011</v>
      </c>
      <c r="B14" s="51">
        <v>3.9699999999999999E-2</v>
      </c>
      <c r="C14" s="52">
        <v>87789955800</v>
      </c>
      <c r="D14" s="53">
        <v>2296661602000</v>
      </c>
      <c r="E14" s="53">
        <v>2616201578100</v>
      </c>
      <c r="F14" s="57">
        <v>0.18440000000000001</v>
      </c>
      <c r="G14" s="58" t="s">
        <v>111</v>
      </c>
      <c r="H14" s="268"/>
    </row>
    <row r="15" spans="1:11" ht="15.75" thickBot="1" x14ac:dyDescent="0.3">
      <c r="A15" s="50">
        <v>2010</v>
      </c>
      <c r="B15" s="51">
        <v>7.5300000000000006E-2</v>
      </c>
      <c r="C15" s="52">
        <v>154646693500</v>
      </c>
      <c r="D15" s="61">
        <v>2208871646200</v>
      </c>
      <c r="E15" s="61">
        <v>2208871646200</v>
      </c>
      <c r="F15" s="57">
        <v>0.32500000000000001</v>
      </c>
      <c r="G15" s="58" t="s">
        <v>112</v>
      </c>
      <c r="H15" s="263" t="s">
        <v>113</v>
      </c>
    </row>
    <row r="16" spans="1:11" ht="15.75" thickBot="1" x14ac:dyDescent="0.3">
      <c r="A16" s="50">
        <v>2009</v>
      </c>
      <c r="B16" s="59">
        <v>-1.2999999999999999E-3</v>
      </c>
      <c r="C16" s="60">
        <v>-2587717100</v>
      </c>
      <c r="D16" s="53">
        <v>2054224952700</v>
      </c>
      <c r="E16" s="53">
        <v>1667019783500</v>
      </c>
      <c r="F16" s="57">
        <v>-1.7000000000000001E-2</v>
      </c>
      <c r="G16" s="58" t="s">
        <v>106</v>
      </c>
      <c r="H16" s="264"/>
    </row>
    <row r="17" spans="1:8" ht="15.75" thickBot="1" x14ac:dyDescent="0.3">
      <c r="A17" s="50">
        <v>2008</v>
      </c>
      <c r="B17" s="51">
        <v>5.0900000000000001E-2</v>
      </c>
      <c r="C17" s="52">
        <v>99699186000</v>
      </c>
      <c r="D17" s="53">
        <v>2056812669800</v>
      </c>
      <c r="E17" s="53">
        <v>1695824563900</v>
      </c>
      <c r="F17" s="57">
        <v>0.19320000000000001</v>
      </c>
      <c r="G17" s="58" t="s">
        <v>114</v>
      </c>
      <c r="H17" s="264"/>
    </row>
    <row r="18" spans="1:8" ht="15.75" thickBot="1" x14ac:dyDescent="0.3">
      <c r="A18" s="50">
        <v>2007</v>
      </c>
      <c r="B18" s="51">
        <v>6.0699999999999997E-2</v>
      </c>
      <c r="C18" s="52">
        <v>111996236700</v>
      </c>
      <c r="D18" s="53">
        <v>1957113483800</v>
      </c>
      <c r="E18" s="53">
        <v>1397084349900</v>
      </c>
      <c r="F18" s="57">
        <v>0.26129999999999998</v>
      </c>
      <c r="G18" s="58" t="s">
        <v>115</v>
      </c>
      <c r="H18" s="264"/>
    </row>
    <row r="19" spans="1:8" ht="15.75" thickBot="1" x14ac:dyDescent="0.3">
      <c r="A19" s="50">
        <v>2006</v>
      </c>
      <c r="B19" s="51">
        <v>3.9600000000000003E-2</v>
      </c>
      <c r="C19" s="52">
        <v>70317375700</v>
      </c>
      <c r="D19" s="53">
        <v>1845117247100</v>
      </c>
      <c r="E19" s="53">
        <v>1107640289600</v>
      </c>
      <c r="F19" s="57">
        <v>0.24229999999999999</v>
      </c>
      <c r="G19" s="58" t="s">
        <v>116</v>
      </c>
      <c r="H19" s="264"/>
    </row>
    <row r="20" spans="1:8" ht="15.75" thickBot="1" x14ac:dyDescent="0.3">
      <c r="A20" s="50">
        <v>2005</v>
      </c>
      <c r="B20" s="51">
        <v>3.2000000000000001E-2</v>
      </c>
      <c r="C20" s="52">
        <v>55068065300</v>
      </c>
      <c r="D20" s="53">
        <v>1774799871400</v>
      </c>
      <c r="E20" s="53">
        <v>891630177200</v>
      </c>
      <c r="F20" s="57">
        <v>0.33210000000000001</v>
      </c>
      <c r="G20" s="58" t="s">
        <v>117</v>
      </c>
      <c r="H20" s="264"/>
    </row>
    <row r="21" spans="1:8" ht="15.75" thickBot="1" x14ac:dyDescent="0.3">
      <c r="A21" s="50">
        <v>2004</v>
      </c>
      <c r="B21" s="51">
        <v>5.7599999999999998E-2</v>
      </c>
      <c r="C21" s="52">
        <v>93661103400</v>
      </c>
      <c r="D21" s="53">
        <v>1719731806100</v>
      </c>
      <c r="E21" s="53">
        <v>669316654000</v>
      </c>
      <c r="F21" s="57">
        <v>0.1988</v>
      </c>
      <c r="G21" s="58" t="s">
        <v>118</v>
      </c>
      <c r="H21" s="264"/>
    </row>
    <row r="22" spans="1:8" ht="15.75" thickBot="1" x14ac:dyDescent="0.3">
      <c r="A22" s="50">
        <v>2003</v>
      </c>
      <c r="B22" s="51">
        <v>1.14E-2</v>
      </c>
      <c r="C22" s="52">
        <v>18341441600</v>
      </c>
      <c r="D22" s="53">
        <v>1626070702700</v>
      </c>
      <c r="E22" s="53">
        <v>558319920800</v>
      </c>
      <c r="F22" s="57">
        <v>9.9099999999999994E-2</v>
      </c>
      <c r="G22" s="58" t="s">
        <v>119</v>
      </c>
      <c r="H22" s="265"/>
    </row>
    <row r="23" spans="1:8" ht="15.75" thickBot="1" x14ac:dyDescent="0.3">
      <c r="A23" s="50">
        <v>2002</v>
      </c>
      <c r="B23" s="51">
        <v>3.0499999999999999E-2</v>
      </c>
      <c r="C23" s="52">
        <v>47636829600</v>
      </c>
      <c r="D23" s="53">
        <v>1607729261100</v>
      </c>
      <c r="E23" s="53">
        <v>507962487700</v>
      </c>
      <c r="F23" s="57">
        <v>-9.1899999999999996E-2</v>
      </c>
      <c r="G23" s="58" t="s">
        <v>120</v>
      </c>
      <c r="H23" s="263" t="s">
        <v>121</v>
      </c>
    </row>
    <row r="24" spans="1:8" ht="15.75" thickBot="1" x14ac:dyDescent="0.3">
      <c r="A24" s="50">
        <v>2001</v>
      </c>
      <c r="B24" s="51">
        <v>1.3899999999999999E-2</v>
      </c>
      <c r="C24" s="52">
        <v>21386413400</v>
      </c>
      <c r="D24" s="53">
        <v>1560092431500</v>
      </c>
      <c r="E24" s="53">
        <v>559372276000</v>
      </c>
      <c r="F24" s="57">
        <v>-0.14649999999999999</v>
      </c>
      <c r="G24" s="58" t="s">
        <v>122</v>
      </c>
      <c r="H24" s="264"/>
    </row>
    <row r="25" spans="1:8" ht="15.75" thickBot="1" x14ac:dyDescent="0.3">
      <c r="A25" s="50">
        <v>2000</v>
      </c>
      <c r="B25" s="51">
        <v>4.1099999999999998E-2</v>
      </c>
      <c r="C25" s="52">
        <v>64679530500</v>
      </c>
      <c r="D25" s="53">
        <v>1538706018100</v>
      </c>
      <c r="E25" s="53">
        <v>655420645400</v>
      </c>
      <c r="F25" s="57">
        <v>9.35E-2</v>
      </c>
      <c r="G25" s="58" t="s">
        <v>115</v>
      </c>
      <c r="H25" s="264"/>
    </row>
    <row r="26" spans="1:8" ht="15.75" thickBot="1" x14ac:dyDescent="0.3">
      <c r="A26" s="50">
        <v>1999</v>
      </c>
      <c r="B26" s="51">
        <v>4.7000000000000002E-3</v>
      </c>
      <c r="C26" s="52">
        <v>6865404200</v>
      </c>
      <c r="D26" s="53">
        <v>1474026487600</v>
      </c>
      <c r="E26" s="53">
        <v>599388579900</v>
      </c>
      <c r="F26" s="57">
        <v>-0.30599999999999999</v>
      </c>
      <c r="G26" s="58" t="s">
        <v>123</v>
      </c>
      <c r="H26" s="264"/>
    </row>
    <row r="27" spans="1:8" ht="15.75" thickBot="1" x14ac:dyDescent="0.3">
      <c r="A27" s="50">
        <v>1998</v>
      </c>
      <c r="B27" s="51">
        <v>3.3999999999999998E-3</v>
      </c>
      <c r="C27" s="52">
        <v>4943727700</v>
      </c>
      <c r="D27" s="53">
        <v>1467161083400</v>
      </c>
      <c r="E27" s="53">
        <v>863723411600</v>
      </c>
      <c r="F27" s="57">
        <v>-2.1999999999999999E-2</v>
      </c>
      <c r="G27" s="58" t="s">
        <v>124</v>
      </c>
      <c r="H27" s="264"/>
    </row>
    <row r="28" spans="1:8" ht="15.75" thickBot="1" x14ac:dyDescent="0.3">
      <c r="A28" s="50">
        <v>1997</v>
      </c>
      <c r="B28" s="51">
        <v>3.4000000000000002E-2</v>
      </c>
      <c r="C28" s="52">
        <v>48010156500</v>
      </c>
      <c r="D28" s="53">
        <v>1462217355700</v>
      </c>
      <c r="E28" s="53">
        <v>883199625300</v>
      </c>
      <c r="F28" s="57">
        <v>3.85E-2</v>
      </c>
      <c r="G28" s="58" t="s">
        <v>124</v>
      </c>
      <c r="H28" s="264"/>
    </row>
    <row r="29" spans="1:8" ht="15.75" thickBot="1" x14ac:dyDescent="0.3">
      <c r="A29" s="50">
        <v>1996</v>
      </c>
      <c r="B29" s="51">
        <v>2.2100000000000002E-2</v>
      </c>
      <c r="C29" s="52">
        <v>30547199200</v>
      </c>
      <c r="D29" s="53">
        <v>1414207199200</v>
      </c>
      <c r="E29" s="53">
        <v>850426432900</v>
      </c>
      <c r="F29" s="57">
        <v>0.10539999999999999</v>
      </c>
      <c r="G29" s="58" t="s">
        <v>125</v>
      </c>
      <c r="H29" s="264"/>
    </row>
    <row r="30" spans="1:8" ht="15.75" thickBot="1" x14ac:dyDescent="0.3">
      <c r="A30" s="50">
        <v>1995</v>
      </c>
      <c r="B30" s="51">
        <v>4.4200000000000003E-2</v>
      </c>
      <c r="C30" s="52">
        <v>58530000000</v>
      </c>
      <c r="D30" s="53">
        <v>1383660000000</v>
      </c>
      <c r="E30" s="53">
        <v>769305386100</v>
      </c>
      <c r="F30" s="57">
        <v>0.37840000000000001</v>
      </c>
      <c r="G30" s="58" t="s">
        <v>126</v>
      </c>
      <c r="H30" s="265"/>
    </row>
    <row r="31" spans="1:8" ht="15.75" thickBot="1" x14ac:dyDescent="0.3">
      <c r="A31" s="50">
        <v>1994</v>
      </c>
      <c r="B31" s="51">
        <v>5.33E-2</v>
      </c>
      <c r="C31" s="52">
        <v>67110000000</v>
      </c>
      <c r="D31" s="53">
        <v>1325130000000</v>
      </c>
      <c r="E31" s="53">
        <v>558111997400</v>
      </c>
      <c r="F31" s="57">
        <v>0.27479999999999999</v>
      </c>
      <c r="G31" s="58" t="s">
        <v>127</v>
      </c>
      <c r="H31" s="266" t="s">
        <v>128</v>
      </c>
    </row>
    <row r="32" spans="1:8" ht="15.75" thickBot="1" x14ac:dyDescent="0.3">
      <c r="A32" s="50">
        <v>1993</v>
      </c>
      <c r="B32" s="51">
        <v>4.6699999999999998E-2</v>
      </c>
      <c r="C32" s="52">
        <v>56070000000</v>
      </c>
      <c r="D32" s="53">
        <v>1258020000000</v>
      </c>
      <c r="E32" s="53">
        <v>437798577600</v>
      </c>
      <c r="F32" s="57">
        <v>9.2899999999999996E-2</v>
      </c>
      <c r="G32" s="58" t="s">
        <v>129</v>
      </c>
      <c r="H32" s="267"/>
    </row>
    <row r="33" spans="1:8" ht="15.75" thickBot="1" x14ac:dyDescent="0.3">
      <c r="A33" s="50">
        <v>1992</v>
      </c>
      <c r="B33" s="59">
        <v>-4.7000000000000002E-3</v>
      </c>
      <c r="C33" s="60">
        <v>-5640000000</v>
      </c>
      <c r="D33" s="53">
        <v>1201950000000</v>
      </c>
      <c r="E33" s="53">
        <v>400599250000</v>
      </c>
      <c r="F33" s="57">
        <v>-0.33550000000000002</v>
      </c>
      <c r="G33" s="58" t="s">
        <v>130</v>
      </c>
      <c r="H33" s="267"/>
    </row>
    <row r="34" spans="1:8" ht="15.75" thickBot="1" x14ac:dyDescent="0.3">
      <c r="A34" s="50">
        <v>1991</v>
      </c>
      <c r="B34" s="51">
        <v>1.5100000000000001E-2</v>
      </c>
      <c r="C34" s="52">
        <v>17990000000</v>
      </c>
      <c r="D34" s="53">
        <v>1207590000000</v>
      </c>
      <c r="E34" s="53">
        <v>602860000000</v>
      </c>
      <c r="F34" s="57">
        <v>0.30499999999999999</v>
      </c>
      <c r="G34" s="58" t="s">
        <v>114</v>
      </c>
      <c r="H34" s="267"/>
    </row>
    <row r="35" spans="1:8" ht="15.75" thickBot="1" x14ac:dyDescent="0.3">
      <c r="A35" s="50">
        <v>1990</v>
      </c>
      <c r="B35" s="59">
        <v>-3.1E-2</v>
      </c>
      <c r="C35" s="60">
        <v>-38090000000</v>
      </c>
      <c r="D35" s="53">
        <v>1189600000000</v>
      </c>
      <c r="E35" s="53">
        <v>461951782000</v>
      </c>
      <c r="F35" s="57">
        <v>8.5400000000000004E-2</v>
      </c>
      <c r="G35" s="58" t="s">
        <v>131</v>
      </c>
      <c r="H35" s="268"/>
    </row>
    <row r="36" spans="1:8" ht="15.75" thickBot="1" x14ac:dyDescent="0.3">
      <c r="A36" s="50">
        <v>1989</v>
      </c>
      <c r="B36" s="51">
        <v>3.2800000000000003E-2</v>
      </c>
      <c r="C36" s="52">
        <v>38980000000</v>
      </c>
      <c r="D36" s="53">
        <v>1227690000000</v>
      </c>
      <c r="E36" s="53">
        <v>425595310000</v>
      </c>
      <c r="F36" s="57">
        <v>0.28810000000000002</v>
      </c>
      <c r="G36" s="58" t="s">
        <v>114</v>
      </c>
      <c r="H36" s="263" t="s">
        <v>132</v>
      </c>
    </row>
    <row r="37" spans="1:8" ht="15.75" thickBot="1" x14ac:dyDescent="0.3">
      <c r="A37" s="50">
        <v>1988</v>
      </c>
      <c r="B37" s="59">
        <v>-1E-3</v>
      </c>
      <c r="C37" s="60">
        <v>-1220000000</v>
      </c>
      <c r="D37" s="53">
        <v>1188710000000</v>
      </c>
      <c r="E37" s="53">
        <v>330397381900</v>
      </c>
      <c r="F37" s="57">
        <v>0.1234</v>
      </c>
      <c r="G37" s="58" t="s">
        <v>115</v>
      </c>
      <c r="H37" s="264"/>
    </row>
    <row r="38" spans="1:8" ht="15.75" thickBot="1" x14ac:dyDescent="0.3">
      <c r="A38" s="50">
        <v>1987</v>
      </c>
      <c r="B38" s="51">
        <v>3.5999999999999997E-2</v>
      </c>
      <c r="C38" s="52">
        <v>41340000000</v>
      </c>
      <c r="D38" s="53">
        <v>1189930000000</v>
      </c>
      <c r="E38" s="53">
        <v>294084112300</v>
      </c>
      <c r="F38" s="57">
        <v>9.6799999999999997E-2</v>
      </c>
      <c r="G38" s="58" t="s">
        <v>133</v>
      </c>
      <c r="H38" s="264"/>
    </row>
    <row r="39" spans="1:8" ht="15.75" thickBot="1" x14ac:dyDescent="0.3">
      <c r="A39" s="50">
        <v>1986</v>
      </c>
      <c r="B39" s="51">
        <v>7.9899999999999999E-2</v>
      </c>
      <c r="C39" s="52">
        <v>84970000000</v>
      </c>
      <c r="D39" s="53">
        <v>1148590000000</v>
      </c>
      <c r="E39" s="53">
        <v>268137224700</v>
      </c>
      <c r="F39" s="57">
        <v>0.20269999999999999</v>
      </c>
      <c r="G39" s="58" t="s">
        <v>114</v>
      </c>
      <c r="H39" s="264"/>
    </row>
    <row r="40" spans="1:8" ht="15.75" thickBot="1" x14ac:dyDescent="0.3">
      <c r="A40" s="50">
        <v>1985</v>
      </c>
      <c r="B40" s="51">
        <v>7.9500000000000001E-2</v>
      </c>
      <c r="C40" s="52">
        <v>78293000000</v>
      </c>
      <c r="D40" s="53">
        <v>1063620000000</v>
      </c>
      <c r="E40" s="53">
        <v>222942790400</v>
      </c>
      <c r="F40" s="57">
        <v>6.6600000000000006E-2</v>
      </c>
      <c r="G40" s="58" t="s">
        <v>134</v>
      </c>
      <c r="H40" s="265"/>
    </row>
    <row r="41" spans="1:8" ht="15.75" thickBot="1" x14ac:dyDescent="0.3">
      <c r="A41" s="50">
        <v>1984</v>
      </c>
      <c r="B41" s="51">
        <v>5.2699999999999997E-2</v>
      </c>
      <c r="C41" s="52">
        <v>49319000000</v>
      </c>
      <c r="D41" s="53">
        <v>985327000000</v>
      </c>
      <c r="E41" s="53">
        <v>209023912600</v>
      </c>
      <c r="F41" s="57">
        <v>2.81E-2</v>
      </c>
      <c r="G41" s="58" t="s">
        <v>135</v>
      </c>
      <c r="H41" s="263" t="s">
        <v>136</v>
      </c>
    </row>
    <row r="42" spans="1:8" ht="15.75" thickBot="1" x14ac:dyDescent="0.3">
      <c r="A42" s="50">
        <v>1983</v>
      </c>
      <c r="B42" s="59">
        <v>-3.4099999999999998E-2</v>
      </c>
      <c r="C42" s="60">
        <v>-33042000000</v>
      </c>
      <c r="D42" s="53">
        <v>936008000000</v>
      </c>
      <c r="E42" s="53">
        <v>203304515490</v>
      </c>
      <c r="F42" s="57">
        <v>-0.27829999999999999</v>
      </c>
      <c r="G42" s="58" t="s">
        <v>119</v>
      </c>
      <c r="H42" s="264"/>
    </row>
    <row r="43" spans="1:8" ht="15.75" thickBot="1" x14ac:dyDescent="0.3">
      <c r="A43" s="50">
        <v>1982</v>
      </c>
      <c r="B43" s="51">
        <v>5.7999999999999996E-3</v>
      </c>
      <c r="C43" s="52">
        <v>5590000000</v>
      </c>
      <c r="D43" s="53">
        <v>969050000000</v>
      </c>
      <c r="E43" s="53">
        <v>281682304100</v>
      </c>
      <c r="F43" s="57">
        <v>6.8699999999999997E-2</v>
      </c>
      <c r="G43" s="58" t="s">
        <v>137</v>
      </c>
      <c r="H43" s="264"/>
    </row>
    <row r="44" spans="1:8" ht="15.75" thickBot="1" x14ac:dyDescent="0.3">
      <c r="A44" s="50">
        <v>1981</v>
      </c>
      <c r="B44" s="59">
        <v>-4.3900000000000002E-2</v>
      </c>
      <c r="C44" s="60">
        <v>-44270000000</v>
      </c>
      <c r="D44" s="53">
        <v>963460000000</v>
      </c>
      <c r="E44" s="53">
        <v>263561088900</v>
      </c>
      <c r="F44" s="57">
        <v>0.12139999999999999</v>
      </c>
      <c r="G44" s="58" t="s">
        <v>138</v>
      </c>
      <c r="H44" s="264"/>
    </row>
    <row r="45" spans="1:8" ht="15.75" thickBot="1" x14ac:dyDescent="0.3">
      <c r="A45" s="50">
        <v>1980</v>
      </c>
      <c r="B45" s="51">
        <v>9.11E-2</v>
      </c>
      <c r="C45" s="52">
        <v>84144000000</v>
      </c>
      <c r="D45" s="53">
        <v>1007730000000</v>
      </c>
      <c r="E45" s="53">
        <v>235024598900</v>
      </c>
      <c r="F45" s="57">
        <v>4.4699999999999997E-2</v>
      </c>
      <c r="G45" s="58" t="s">
        <v>139</v>
      </c>
      <c r="H45" s="264"/>
    </row>
    <row r="46" spans="1:8" ht="15.75" thickBot="1" x14ac:dyDescent="0.3">
      <c r="A46" s="50">
        <v>1979</v>
      </c>
      <c r="B46" s="51">
        <v>6.7699999999999996E-2</v>
      </c>
      <c r="C46" s="52">
        <v>58532000000</v>
      </c>
      <c r="D46" s="53">
        <v>923586000000</v>
      </c>
      <c r="E46" s="53">
        <v>224969488800</v>
      </c>
      <c r="F46" s="57">
        <v>0.1203</v>
      </c>
      <c r="G46" s="58" t="s">
        <v>133</v>
      </c>
      <c r="H46" s="265"/>
    </row>
    <row r="47" spans="1:8" ht="15.75" thickBot="1" x14ac:dyDescent="0.3">
      <c r="A47" s="50">
        <v>1978</v>
      </c>
      <c r="B47" s="51">
        <v>3.2300000000000002E-2</v>
      </c>
      <c r="C47" s="52">
        <v>27081000000</v>
      </c>
      <c r="D47" s="53">
        <v>865054000000</v>
      </c>
      <c r="E47" s="53">
        <v>200800891800</v>
      </c>
      <c r="F47" s="57">
        <v>0.13980000000000001</v>
      </c>
      <c r="G47" s="58" t="s">
        <v>107</v>
      </c>
      <c r="H47" s="263" t="s">
        <v>140</v>
      </c>
    </row>
    <row r="48" spans="1:8" ht="15.75" thickBot="1" x14ac:dyDescent="0.3">
      <c r="A48" s="50">
        <v>1977</v>
      </c>
      <c r="B48" s="51">
        <v>4.6100000000000002E-2</v>
      </c>
      <c r="C48" s="52">
        <v>36900000000</v>
      </c>
      <c r="D48" s="53">
        <v>837973000000</v>
      </c>
      <c r="E48" s="53">
        <v>176171284300</v>
      </c>
      <c r="F48" s="57">
        <v>0.15390000000000001</v>
      </c>
      <c r="G48" s="58" t="s">
        <v>107</v>
      </c>
      <c r="H48" s="264"/>
    </row>
    <row r="49" spans="1:8" ht="15.75" thickBot="1" x14ac:dyDescent="0.3">
      <c r="A49" s="50">
        <v>1976</v>
      </c>
      <c r="B49" s="51">
        <v>9.7900000000000001E-2</v>
      </c>
      <c r="C49" s="52">
        <v>71435000000</v>
      </c>
      <c r="D49" s="53">
        <v>801073000000</v>
      </c>
      <c r="E49" s="53">
        <v>152678020400</v>
      </c>
      <c r="F49" s="57">
        <v>0.23419999999999999</v>
      </c>
      <c r="G49" s="58" t="s">
        <v>127</v>
      </c>
      <c r="H49" s="264"/>
    </row>
    <row r="50" spans="1:8" ht="15.75" thickBot="1" x14ac:dyDescent="0.3">
      <c r="A50" s="50">
        <v>1975</v>
      </c>
      <c r="B50" s="51">
        <v>5.21E-2</v>
      </c>
      <c r="C50" s="52">
        <v>36125000000</v>
      </c>
      <c r="D50" s="53">
        <v>729638000000</v>
      </c>
      <c r="E50" s="53">
        <v>123709376500</v>
      </c>
      <c r="F50" s="57">
        <v>0.17660000000000001</v>
      </c>
      <c r="G50" s="58" t="s">
        <v>141</v>
      </c>
      <c r="H50" s="264"/>
    </row>
    <row r="51" spans="1:8" ht="15.75" thickBot="1" x14ac:dyDescent="0.3">
      <c r="A51" s="50">
        <v>1974</v>
      </c>
      <c r="B51" s="51">
        <v>9.0399999999999994E-2</v>
      </c>
      <c r="C51" s="52">
        <v>57509000000</v>
      </c>
      <c r="D51" s="53">
        <v>693513000000</v>
      </c>
      <c r="E51" s="53">
        <v>105136007500</v>
      </c>
      <c r="F51" s="57">
        <v>0.26779999999999998</v>
      </c>
      <c r="G51" s="58" t="s">
        <v>142</v>
      </c>
      <c r="H51" s="265"/>
    </row>
    <row r="52" spans="1:8" ht="15.75" thickBot="1" x14ac:dyDescent="0.3">
      <c r="A52" s="50">
        <v>1973</v>
      </c>
      <c r="B52" s="51">
        <v>0.13980000000000001</v>
      </c>
      <c r="C52" s="52">
        <v>78001000000</v>
      </c>
      <c r="D52" s="53">
        <v>636004000000</v>
      </c>
      <c r="E52" s="53">
        <v>79279057700</v>
      </c>
      <c r="F52" s="57">
        <v>0.3543</v>
      </c>
      <c r="G52" s="58" t="s">
        <v>143</v>
      </c>
      <c r="H52" s="263" t="s">
        <v>144</v>
      </c>
    </row>
    <row r="53" spans="1:8" ht="15.75" thickBot="1" x14ac:dyDescent="0.3">
      <c r="A53" s="50">
        <v>1972</v>
      </c>
      <c r="B53" s="51">
        <v>0.1205</v>
      </c>
      <c r="C53" s="52">
        <v>60021000000</v>
      </c>
      <c r="D53" s="53">
        <v>558003000000</v>
      </c>
      <c r="E53" s="53">
        <v>58539008700</v>
      </c>
      <c r="F53" s="57">
        <v>0.18970000000000001</v>
      </c>
      <c r="G53" s="58" t="s">
        <v>145</v>
      </c>
      <c r="H53" s="264"/>
    </row>
    <row r="54" spans="1:8" ht="15.75" thickBot="1" x14ac:dyDescent="0.3">
      <c r="A54" s="50">
        <v>1971</v>
      </c>
      <c r="B54" s="51">
        <v>0.113</v>
      </c>
      <c r="C54" s="52">
        <v>50539000000</v>
      </c>
      <c r="D54" s="53">
        <v>497982000000</v>
      </c>
      <c r="E54" s="53">
        <v>49204456700</v>
      </c>
      <c r="F54" s="57">
        <v>0.16250000000000001</v>
      </c>
      <c r="G54" s="58" t="s">
        <v>146</v>
      </c>
      <c r="H54" s="264"/>
    </row>
    <row r="55" spans="1:8" ht="15.75" thickBot="1" x14ac:dyDescent="0.3">
      <c r="A55" s="50">
        <v>1970</v>
      </c>
      <c r="B55" s="51">
        <v>8.77E-2</v>
      </c>
      <c r="C55" s="52">
        <v>36077000000</v>
      </c>
      <c r="D55" s="53">
        <v>447443000000</v>
      </c>
      <c r="E55" s="53">
        <v>42327600000</v>
      </c>
      <c r="F55" s="57">
        <v>0.13</v>
      </c>
      <c r="G55" s="58" t="s">
        <v>147</v>
      </c>
      <c r="H55" s="265"/>
    </row>
    <row r="56" spans="1:8" ht="15.75" thickBot="1" x14ac:dyDescent="0.3">
      <c r="A56" s="50">
        <v>1969</v>
      </c>
      <c r="B56" s="51">
        <v>9.74E-2</v>
      </c>
      <c r="C56" s="52">
        <v>36496000000</v>
      </c>
      <c r="D56" s="53">
        <v>411366000000</v>
      </c>
      <c r="E56" s="53">
        <v>37458898200</v>
      </c>
      <c r="F56" s="57">
        <v>0.10580000000000001</v>
      </c>
      <c r="G56" s="58" t="s">
        <v>115</v>
      </c>
      <c r="H56" s="263" t="s">
        <v>148</v>
      </c>
    </row>
    <row r="57" spans="1:8" ht="15.75" thickBot="1" x14ac:dyDescent="0.3">
      <c r="A57" s="50">
        <v>1968</v>
      </c>
      <c r="B57" s="51">
        <v>0.1143</v>
      </c>
      <c r="C57" s="52">
        <v>38445000000</v>
      </c>
      <c r="D57" s="53">
        <v>374870000000</v>
      </c>
      <c r="E57" s="53">
        <v>33875881800</v>
      </c>
      <c r="F57" s="57">
        <v>0.10730000000000001</v>
      </c>
      <c r="G57" s="58" t="s">
        <v>116</v>
      </c>
      <c r="H57" s="264"/>
    </row>
    <row r="58" spans="1:8" ht="15.75" thickBot="1" x14ac:dyDescent="0.3">
      <c r="A58" s="50">
        <v>1967</v>
      </c>
      <c r="B58" s="51">
        <v>4.9200000000000001E-2</v>
      </c>
      <c r="C58" s="52">
        <v>15761000000</v>
      </c>
      <c r="D58" s="53">
        <v>336425000000</v>
      </c>
      <c r="E58" s="53">
        <v>30591834000</v>
      </c>
      <c r="F58" s="57">
        <v>0.13039999999999999</v>
      </c>
      <c r="G58" s="58" t="s">
        <v>141</v>
      </c>
      <c r="H58" s="265"/>
    </row>
    <row r="59" spans="1:8" ht="15.75" thickBot="1" x14ac:dyDescent="0.3">
      <c r="A59" s="50">
        <v>1966</v>
      </c>
      <c r="B59" s="51">
        <v>4.1500000000000002E-2</v>
      </c>
      <c r="C59" s="52">
        <v>12778000000</v>
      </c>
      <c r="D59" s="53">
        <v>320664000000</v>
      </c>
      <c r="E59" s="53">
        <v>27062716500</v>
      </c>
      <c r="F59" s="57">
        <v>0.2419</v>
      </c>
      <c r="G59" s="58" t="s">
        <v>143</v>
      </c>
      <c r="H59" s="263" t="s">
        <v>149</v>
      </c>
    </row>
    <row r="60" spans="1:8" ht="15.75" thickBot="1" x14ac:dyDescent="0.3">
      <c r="A60" s="50">
        <v>1965</v>
      </c>
      <c r="B60" s="51">
        <v>3.0499999999999999E-2</v>
      </c>
      <c r="C60" s="52">
        <v>9123000000</v>
      </c>
      <c r="D60" s="53">
        <v>307886000000</v>
      </c>
      <c r="E60" s="53">
        <v>21790035100</v>
      </c>
      <c r="F60" s="57">
        <v>2.7300000000000001E-2</v>
      </c>
      <c r="G60" s="58" t="s">
        <v>150</v>
      </c>
      <c r="H60" s="264"/>
    </row>
    <row r="61" spans="1:8" ht="15.75" thickBot="1" x14ac:dyDescent="0.3">
      <c r="A61" s="50">
        <v>1964</v>
      </c>
      <c r="B61" s="51">
        <v>3.49E-2</v>
      </c>
      <c r="C61" s="52">
        <v>10063000000</v>
      </c>
      <c r="D61" s="53">
        <v>298763000000</v>
      </c>
      <c r="E61" s="53">
        <v>21211892260</v>
      </c>
      <c r="F61" s="57">
        <v>-7.8600000000000003E-2</v>
      </c>
      <c r="G61" s="58" t="s">
        <v>151</v>
      </c>
      <c r="H61" s="265"/>
    </row>
    <row r="62" spans="1:8" ht="25.5" customHeight="1" thickBot="1" x14ac:dyDescent="0.3">
      <c r="A62" s="50">
        <v>1963</v>
      </c>
      <c r="B62" s="51">
        <v>8.8000000000000005E-3</v>
      </c>
      <c r="C62" s="52">
        <v>2503000000</v>
      </c>
      <c r="D62" s="53">
        <v>288700000000</v>
      </c>
      <c r="E62" s="53">
        <v>23021477200</v>
      </c>
      <c r="F62" s="57">
        <v>0.15529999999999999</v>
      </c>
      <c r="G62" s="58" t="s">
        <v>127</v>
      </c>
      <c r="H62" s="266" t="s">
        <v>152</v>
      </c>
    </row>
    <row r="63" spans="1:8" ht="15.75" thickBot="1" x14ac:dyDescent="0.3">
      <c r="A63" s="50">
        <v>1962</v>
      </c>
      <c r="B63" s="51">
        <v>5.2200000000000003E-2</v>
      </c>
      <c r="C63" s="52">
        <v>14188000000</v>
      </c>
      <c r="D63" s="53">
        <v>286197000000</v>
      </c>
      <c r="E63" s="53">
        <v>19926293800</v>
      </c>
      <c r="F63" s="57">
        <v>0.30780000000000002</v>
      </c>
      <c r="G63" s="58" t="s">
        <v>129</v>
      </c>
      <c r="H63" s="267"/>
    </row>
    <row r="64" spans="1:8" ht="15.75" thickBot="1" x14ac:dyDescent="0.3">
      <c r="A64" s="50">
        <v>1961</v>
      </c>
      <c r="B64" s="51">
        <v>0.1028</v>
      </c>
      <c r="C64" s="52">
        <v>25356000000</v>
      </c>
      <c r="D64" s="53">
        <v>272009000000</v>
      </c>
      <c r="E64" s="53">
        <v>15236854800</v>
      </c>
      <c r="F64" s="57">
        <v>4.7000000000000002E-3</v>
      </c>
      <c r="G64" s="58" t="s">
        <v>122</v>
      </c>
      <c r="H64" s="268"/>
    </row>
  </sheetData>
  <mergeCells count="24">
    <mergeCell ref="H7:H14"/>
    <mergeCell ref="H15:H22"/>
    <mergeCell ref="H2:H6"/>
    <mergeCell ref="A4:A5"/>
    <mergeCell ref="C4:C5"/>
    <mergeCell ref="D4:D5"/>
    <mergeCell ref="E4:E5"/>
    <mergeCell ref="F4:F5"/>
    <mergeCell ref="G4:G5"/>
    <mergeCell ref="A2:A3"/>
    <mergeCell ref="C2:C3"/>
    <mergeCell ref="D2:D3"/>
    <mergeCell ref="E2:E3"/>
    <mergeCell ref="F2:F3"/>
    <mergeCell ref="G2:G3"/>
    <mergeCell ref="H56:H58"/>
    <mergeCell ref="H59:H61"/>
    <mergeCell ref="H62:H64"/>
    <mergeCell ref="H23:H30"/>
    <mergeCell ref="H31:H35"/>
    <mergeCell ref="H36:H40"/>
    <mergeCell ref="H47:H51"/>
    <mergeCell ref="H52:H55"/>
    <mergeCell ref="H41:H46"/>
  </mergeCells>
  <hyperlinks>
    <hyperlink ref="D1" r:id="rId1" location="cite_note-41" display="https://pt.wikipedia.org/wiki/Produto_interno_bruto_do_Brasil - cite_note-41" xr:uid="{CF3E4B5F-65AA-4460-BBC5-A80655EC0C3D}"/>
    <hyperlink ref="E1" r:id="rId2" location="cite_note-:3-42" display="https://pt.wikipedia.org/wiki/Produto_interno_bruto_do_Brasil - cite_note-:3-42" xr:uid="{D0643D8F-D5B5-4911-AEBA-712753EBCC37}"/>
    <hyperlink ref="G1" r:id="rId3" location="cite_note-43" display="https://pt.wikipedia.org/wiki/Produto_interno_bruto_do_Brasil - cite_note-43" xr:uid="{1ADEFC87-DDA7-454F-AEEB-EE95BE809E86}"/>
    <hyperlink ref="H1" r:id="rId4" location="cite_note-:5-44" display="https://pt.wikipedia.org/wiki/Produto_interno_bruto_do_Brasil - cite_note-:5-44" xr:uid="{E4AF7647-849F-4B71-B49C-BAD589CA4F90}"/>
    <hyperlink ref="A2" r:id="rId5" tooltip="2021" display="https://pt.wikipedia.org/wiki/2021" xr:uid="{3CE24F15-9863-4C7E-AB20-8E18ADFA56EF}"/>
    <hyperlink ref="H2" r:id="rId6" tooltip="Governo Jair Bolsonaro" display="https://pt.wikipedia.org/wiki/Governo_Jair_Bolsonaro" xr:uid="{40FCD8FF-930C-4791-B072-2855A1AECB59}"/>
    <hyperlink ref="A4" r:id="rId7" tooltip="2020" display="https://pt.wikipedia.org/wiki/2020" xr:uid="{54020A76-6E7E-447B-BF69-93A669C83A11}"/>
    <hyperlink ref="A6" r:id="rId8" tooltip="2019" display="https://pt.wikipedia.org/wiki/2019" xr:uid="{E5AC5E5A-A642-4AC0-BB50-8DE548F849A0}"/>
    <hyperlink ref="A7" r:id="rId9" tooltip="2018" display="https://pt.wikipedia.org/wiki/2018" xr:uid="{D05BFB9A-CA1D-4F9F-ABDC-034BC52B176C}"/>
    <hyperlink ref="A8" r:id="rId10" tooltip="2017" display="https://pt.wikipedia.org/wiki/2017" xr:uid="{7222B8A8-EB86-4AC5-BFBC-1885AF16452B}"/>
    <hyperlink ref="A9" r:id="rId11" tooltip="2016" display="https://pt.wikipedia.org/wiki/2016" xr:uid="{EA7C25CF-3147-48FB-AECE-E4891F259A82}"/>
    <hyperlink ref="A10" r:id="rId12" tooltip="2015" display="https://pt.wikipedia.org/wiki/2015" xr:uid="{1D920338-EFF9-4400-9418-288B451F3225}"/>
    <hyperlink ref="A11" r:id="rId13" tooltip="2014" display="https://pt.wikipedia.org/wiki/2014" xr:uid="{A1634CEB-C64D-429C-9D7C-B0022FAAA3F9}"/>
    <hyperlink ref="A12" r:id="rId14" tooltip="2013" display="https://pt.wikipedia.org/wiki/2013" xr:uid="{137D09C1-0568-45E8-A9BB-BD48739DEE50}"/>
    <hyperlink ref="A13" r:id="rId15" tooltip="2012" display="https://pt.wikipedia.org/wiki/2012" xr:uid="{59F9C117-6ED3-4FD6-BCAA-46CA79565674}"/>
    <hyperlink ref="A14" r:id="rId16" tooltip="2011" display="https://pt.wikipedia.org/wiki/2011" xr:uid="{7FB127DE-DD2A-4788-8F75-A94D1015BCBC}"/>
    <hyperlink ref="A15" r:id="rId17" tooltip="2010" display="https://pt.wikipedia.org/wiki/2010" xr:uid="{2A7513B4-2B0F-4C2C-9772-F1628782D7EA}"/>
    <hyperlink ref="H15" r:id="rId18" tooltip="Governo Lula" display="https://pt.wikipedia.org/wiki/Governo_Lula" xr:uid="{6EFE13BD-41B0-497C-9093-8C068937DB5B}"/>
    <hyperlink ref="A16" r:id="rId19" tooltip="2009" display="https://pt.wikipedia.org/wiki/2009" xr:uid="{25421FF7-E3DB-492D-900F-EFD450B55DDD}"/>
    <hyperlink ref="A17" r:id="rId20" tooltip="2008" display="https://pt.wikipedia.org/wiki/2008" xr:uid="{79B89F02-DFF5-400D-AC55-E71559F75261}"/>
    <hyperlink ref="A18" r:id="rId21" tooltip="2007" display="https://pt.wikipedia.org/wiki/2007" xr:uid="{00CFA73E-6F49-4CFA-86F4-F3BEFAA88059}"/>
    <hyperlink ref="A19" r:id="rId22" tooltip="2006" display="https://pt.wikipedia.org/wiki/2006" xr:uid="{2DF29762-9902-490B-9334-2565E16A0C20}"/>
    <hyperlink ref="A20" r:id="rId23" tooltip="2005" display="https://pt.wikipedia.org/wiki/2005" xr:uid="{0B1FB7DE-3F9A-445D-9CCF-6DA3496AE683}"/>
    <hyperlink ref="A21" r:id="rId24" tooltip="2004" display="https://pt.wikipedia.org/wiki/2004" xr:uid="{1BEC229C-58CE-44C7-B6A5-F5DA07BC4124}"/>
    <hyperlink ref="A22" r:id="rId25" tooltip="2003" display="https://pt.wikipedia.org/wiki/2003" xr:uid="{EB8FB9EE-058D-4FD5-A613-6C3DA2D3C720}"/>
    <hyperlink ref="A23" r:id="rId26" tooltip="2002" display="https://pt.wikipedia.org/wiki/2002" xr:uid="{EA343DB7-627F-4D26-908A-EDCFAA946B83}"/>
    <hyperlink ref="H23" r:id="rId27" tooltip="Governo Fernando Henrique Cardoso" display="https://pt.wikipedia.org/wiki/Governo_Fernando_Henrique_Cardoso" xr:uid="{BC242E76-783C-4BC7-AB9A-F17033089FB1}"/>
    <hyperlink ref="A24" r:id="rId28" tooltip="2001" display="https://pt.wikipedia.org/wiki/2001" xr:uid="{F3248AFE-B739-4802-8341-08F9CCF8448C}"/>
    <hyperlink ref="A25" r:id="rId29" tooltip="2000" display="https://pt.wikipedia.org/wiki/2000" xr:uid="{6AEBB0DE-04DB-4572-A7C8-8838DB215CF1}"/>
    <hyperlink ref="A26" r:id="rId30" tooltip="1999" display="https://pt.wikipedia.org/wiki/1999" xr:uid="{0BCAF260-91F6-489A-AC28-2DA12C9B0A83}"/>
    <hyperlink ref="A27" r:id="rId31" tooltip="1998" display="https://pt.wikipedia.org/wiki/1998" xr:uid="{87C8B3CA-AD6E-4EE1-B321-709220A988FB}"/>
    <hyperlink ref="A28" r:id="rId32" tooltip="1997" display="https://pt.wikipedia.org/wiki/1997" xr:uid="{1B253863-A79F-44B5-AA92-D7AD40014978}"/>
    <hyperlink ref="A29" r:id="rId33" tooltip="1996" display="https://pt.wikipedia.org/wiki/1996" xr:uid="{76CDD626-8D0E-45D0-A8F5-6BD4526747E1}"/>
    <hyperlink ref="A30" r:id="rId34" tooltip="1995" display="https://pt.wikipedia.org/wiki/1995" xr:uid="{82E4597A-FDCF-4F45-96F3-02AC99DF980B}"/>
    <hyperlink ref="A31" r:id="rId35" tooltip="1994" display="https://pt.wikipedia.org/wiki/1994" xr:uid="{B6E08315-A58F-4D8B-A9E5-F449DA15C196}"/>
    <hyperlink ref="A32" r:id="rId36" tooltip="1993" display="https://pt.wikipedia.org/wiki/1993" xr:uid="{861FA448-1FFB-4D36-BF82-A2E8B8EB31F7}"/>
    <hyperlink ref="A33" r:id="rId37" tooltip="1992" display="https://pt.wikipedia.org/wiki/1992" xr:uid="{6E748709-16C6-4C3F-B1FD-816D7634423E}"/>
    <hyperlink ref="A34" r:id="rId38" tooltip="1991" display="https://pt.wikipedia.org/wiki/1991" xr:uid="{70AE6AE5-92EC-4741-AAE8-EFA2CFE88B60}"/>
    <hyperlink ref="A35" r:id="rId39" tooltip="1990" display="https://pt.wikipedia.org/wiki/1990" xr:uid="{9DFFB366-9B47-48B5-8B17-0EDCC58EB4EF}"/>
    <hyperlink ref="A36" r:id="rId40" tooltip="1989" display="https://pt.wikipedia.org/wiki/1989" xr:uid="{32847A73-B8AF-4D17-8F63-1C45150D0596}"/>
    <hyperlink ref="H36" r:id="rId41" tooltip="Governo Sarney" display="https://pt.wikipedia.org/wiki/Governo_Sarney" xr:uid="{11543C21-32EA-4CED-8FA0-6EC37A3490D5}"/>
    <hyperlink ref="A37" r:id="rId42" tooltip="1988" display="https://pt.wikipedia.org/wiki/1988" xr:uid="{F67A9FC6-20BA-4BC9-9410-8301A4FE7A15}"/>
    <hyperlink ref="A38" r:id="rId43" tooltip="1987" display="https://pt.wikipedia.org/wiki/1987" xr:uid="{0A3635DB-ECE7-4DD1-9DD3-79B879FA0C32}"/>
    <hyperlink ref="A39" r:id="rId44" tooltip="1986" display="https://pt.wikipedia.org/wiki/1986" xr:uid="{D5265850-2069-455C-8AC2-754121EE8588}"/>
    <hyperlink ref="A40" r:id="rId45" tooltip="1985" display="https://pt.wikipedia.org/wiki/1985" xr:uid="{14689C57-9992-4BD3-87F6-AEE6D39EAAE8}"/>
    <hyperlink ref="A41" r:id="rId46" tooltip="1984" display="https://pt.wikipedia.org/wiki/1984" xr:uid="{1AE4AEE1-A7F3-4F2B-9A5F-BCA45D25D8C3}"/>
    <hyperlink ref="H41" r:id="rId47" tooltip="João Figueiredo" display="https://pt.wikipedia.org/wiki/Jo%C3%A3o_Figueiredo" xr:uid="{2A588499-6D38-47C4-87C8-714021585DB4}"/>
    <hyperlink ref="A42" r:id="rId48" tooltip="1983" display="https://pt.wikipedia.org/wiki/1983" xr:uid="{D40F4763-6930-42BC-BAA8-C27D947EF549}"/>
    <hyperlink ref="A43" r:id="rId49" tooltip="1982" display="https://pt.wikipedia.org/wiki/1982" xr:uid="{4862705C-910D-49DE-9016-902919C99379}"/>
    <hyperlink ref="A44" r:id="rId50" tooltip="1981" display="https://pt.wikipedia.org/wiki/1981" xr:uid="{B66AF77E-7445-428B-BA6B-19D908EF4489}"/>
    <hyperlink ref="A45" r:id="rId51" tooltip="1980" display="https://pt.wikipedia.org/wiki/1980" xr:uid="{DB3C3C54-BFB9-45E2-A1BA-C2294E7F0591}"/>
    <hyperlink ref="A46" r:id="rId52" tooltip="1979" display="https://pt.wikipedia.org/wiki/1979" xr:uid="{0FCA4208-18F8-4D67-906F-C8EEA8857F9A}"/>
    <hyperlink ref="A47" r:id="rId53" tooltip="1978" display="https://pt.wikipedia.org/wiki/1978" xr:uid="{6433A27D-DFDA-4C25-9247-A3C441E370A0}"/>
    <hyperlink ref="H47" r:id="rId54" tooltip="Governo Ernesto Geisel" display="https://pt.wikipedia.org/wiki/Governo_Ernesto_Geisel" xr:uid="{2CA50D2F-BB2A-4C1F-BD1D-D28E47B163EB}"/>
    <hyperlink ref="A48" r:id="rId55" tooltip="1977" display="https://pt.wikipedia.org/wiki/1977" xr:uid="{E1A31B26-CFFA-4C33-A9AD-A9E6A08A51B5}"/>
    <hyperlink ref="A49" r:id="rId56" tooltip="1976" display="https://pt.wikipedia.org/wiki/1976" xr:uid="{34961DE5-F388-449B-937B-800B3D96AB5A}"/>
    <hyperlink ref="A50" r:id="rId57" tooltip="1975" display="https://pt.wikipedia.org/wiki/1975" xr:uid="{AEA362C1-D65E-4678-8AB0-331A971894E1}"/>
    <hyperlink ref="A51" r:id="rId58" tooltip="1974" display="https://pt.wikipedia.org/wiki/1974" xr:uid="{6304C669-347F-4C64-A1B3-78B023E0E1A5}"/>
    <hyperlink ref="A52" r:id="rId59" tooltip="1973" display="https://pt.wikipedia.org/wiki/1973" xr:uid="{F7FBDEB1-9C8B-4B48-AAA5-0BE1A5A9D6F0}"/>
    <hyperlink ref="H52" r:id="rId60" tooltip="Emílio Garrastazu Médici" display="https://pt.wikipedia.org/wiki/Em%C3%ADlio_Garrastazu_M%C3%A9dici" xr:uid="{7716B693-8AC4-4B3C-A0BE-0CDBD135F025}"/>
    <hyperlink ref="A53" r:id="rId61" tooltip="1972" display="https://pt.wikipedia.org/wiki/1972" xr:uid="{D59E6FCB-AD78-4B2E-BD16-554C3A6B37CA}"/>
    <hyperlink ref="A54" r:id="rId62" tooltip="1971" display="https://pt.wikipedia.org/wiki/1971" xr:uid="{1DED0F34-51CB-4CCB-994E-CCA4CFD852E3}"/>
    <hyperlink ref="A55" r:id="rId63" tooltip="1970" display="https://pt.wikipedia.org/wiki/1970" xr:uid="{98E7185E-BA79-4AAC-938D-57542B1EC7F3}"/>
    <hyperlink ref="A56" r:id="rId64" tooltip="1969" display="https://pt.wikipedia.org/wiki/1969" xr:uid="{94737CCA-6B8E-44A6-B968-ED73031979C1}"/>
    <hyperlink ref="H56" r:id="rId65" tooltip="Costa e Silva" display="https://pt.wikipedia.org/wiki/Costa_e_Silva" xr:uid="{EFBCEEFD-AE7F-43DA-99E4-B2E7062E5595}"/>
    <hyperlink ref="A57" r:id="rId66" tooltip="1968" display="https://pt.wikipedia.org/wiki/1968" xr:uid="{CF950E53-2C60-4054-8332-10339EED4335}"/>
    <hyperlink ref="A58" r:id="rId67" tooltip="1967" display="https://pt.wikipedia.org/wiki/1967" xr:uid="{D029D051-7573-4F28-A92F-425E2D9086DF}"/>
    <hyperlink ref="A59" r:id="rId68" tooltip="1966" display="https://pt.wikipedia.org/wiki/1966" xr:uid="{9AE95EDD-1AC6-43DB-86B9-0C77896DE1AC}"/>
    <hyperlink ref="H59" r:id="rId69" tooltip="Governo Castelo Branco" display="https://pt.wikipedia.org/wiki/Governo_Castelo_Branco" xr:uid="{4FC40665-4BBC-48A9-BBAD-91FF3CF82514}"/>
    <hyperlink ref="A60" r:id="rId70" tooltip="1965" display="https://pt.wikipedia.org/wiki/1965" xr:uid="{625FD568-287D-4B51-BBF8-6F586E1C0185}"/>
    <hyperlink ref="A61" r:id="rId71" tooltip="1964" display="https://pt.wikipedia.org/wiki/1964" xr:uid="{8ED1FB90-6BF2-4AD0-89C3-30A8C1EC9127}"/>
    <hyperlink ref="A62" r:id="rId72" tooltip="1963" display="https://pt.wikipedia.org/wiki/1963" xr:uid="{F5F03FBB-5C71-4237-A1A7-01C11BEE4B83}"/>
    <hyperlink ref="A63" r:id="rId73" tooltip="1962" display="https://pt.wikipedia.org/wiki/1962" xr:uid="{15F76E87-0042-482F-88AA-2BDFA18C42B5}"/>
    <hyperlink ref="A64" r:id="rId74" tooltip="1961" display="https://pt.wikipedia.org/wiki/1961" xr:uid="{CEDFFBB5-E63D-4125-86FE-B5784A96B992}"/>
  </hyperlinks>
  <pageMargins left="0.511811024" right="0.511811024" top="0.78740157499999996" bottom="0.78740157499999996" header="0.31496062000000002" footer="0.31496062000000002"/>
  <drawing r:id="rId75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DEBD5-55AF-4F27-A415-C651F9C00902}">
  <dimension ref="A1:S1048576"/>
  <sheetViews>
    <sheetView workbookViewId="0">
      <selection activeCell="N1" sqref="N1"/>
    </sheetView>
  </sheetViews>
  <sheetFormatPr defaultColWidth="9.140625" defaultRowHeight="15" x14ac:dyDescent="0.25"/>
  <cols>
    <col min="1" max="1" width="16.140625" style="62" bestFit="1" customWidth="1"/>
    <col min="2" max="2" width="18.7109375" style="62" hidden="1" customWidth="1"/>
    <col min="3" max="3" width="14.7109375" style="62" hidden="1" customWidth="1"/>
    <col min="4" max="4" width="14.140625" style="62" hidden="1" customWidth="1"/>
    <col min="5" max="6" width="31.140625" style="62" hidden="1" customWidth="1"/>
    <col min="7" max="7" width="22.85546875" style="62" bestFit="1" customWidth="1"/>
    <col min="8" max="8" width="31" style="62" hidden="1" customWidth="1"/>
    <col min="9" max="9" width="43" style="62" hidden="1" customWidth="1"/>
    <col min="10" max="10" width="28.140625" style="62" hidden="1" customWidth="1"/>
    <col min="11" max="11" width="19.28515625" style="62" hidden="1" customWidth="1"/>
    <col min="12" max="12" width="27.85546875" style="62" hidden="1" customWidth="1"/>
    <col min="13" max="13" width="30.85546875" style="62" hidden="1" customWidth="1"/>
    <col min="14" max="14" width="9.140625" style="62"/>
    <col min="15" max="15" width="11.7109375" style="62" bestFit="1" customWidth="1"/>
    <col min="16" max="16" width="9.140625" style="62"/>
    <col min="17" max="17" width="5" style="62" bestFit="1" customWidth="1"/>
    <col min="18" max="18" width="11.7109375" style="62" bestFit="1" customWidth="1"/>
    <col min="19" max="16384" width="9.140625" style="62"/>
  </cols>
  <sheetData>
    <row r="1" spans="1:19" x14ac:dyDescent="0.25">
      <c r="A1" s="276" t="s">
        <v>154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O1" s="62" t="s">
        <v>155</v>
      </c>
    </row>
    <row r="2" spans="1:19" x14ac:dyDescent="0.25">
      <c r="A2" s="275" t="s">
        <v>156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</row>
    <row r="3" spans="1:19" x14ac:dyDescent="0.25">
      <c r="A3" s="275" t="s">
        <v>157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</row>
    <row r="4" spans="1:19" x14ac:dyDescent="0.25">
      <c r="A4" s="275" t="s">
        <v>158</v>
      </c>
      <c r="B4" s="275" t="s">
        <v>159</v>
      </c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</row>
    <row r="5" spans="1:19" x14ac:dyDescent="0.25">
      <c r="A5" s="275"/>
      <c r="B5" s="63" t="s">
        <v>160</v>
      </c>
      <c r="C5" s="63" t="s">
        <v>161</v>
      </c>
      <c r="D5" s="63" t="s">
        <v>162</v>
      </c>
      <c r="E5" s="63" t="s">
        <v>163</v>
      </c>
      <c r="F5" s="63" t="s">
        <v>164</v>
      </c>
      <c r="G5" s="63" t="s">
        <v>165</v>
      </c>
      <c r="H5" s="63" t="s">
        <v>166</v>
      </c>
      <c r="I5" s="63" t="s">
        <v>167</v>
      </c>
      <c r="J5" s="63" t="s">
        <v>168</v>
      </c>
      <c r="K5" s="63" t="s">
        <v>169</v>
      </c>
      <c r="L5" s="63" t="s">
        <v>170</v>
      </c>
      <c r="M5" s="63" t="s">
        <v>171</v>
      </c>
    </row>
    <row r="6" spans="1:19" x14ac:dyDescent="0.25">
      <c r="A6" s="64" t="s">
        <v>172</v>
      </c>
      <c r="B6" s="65">
        <v>10054</v>
      </c>
      <c r="C6" s="65">
        <v>41474</v>
      </c>
      <c r="D6" s="65">
        <v>112836</v>
      </c>
      <c r="E6" s="65">
        <v>164363</v>
      </c>
      <c r="F6" s="65">
        <v>24960</v>
      </c>
      <c r="G6" s="65">
        <v>189323</v>
      </c>
      <c r="H6" s="65">
        <v>125685</v>
      </c>
      <c r="I6" s="65">
        <v>35666</v>
      </c>
      <c r="J6" s="65">
        <v>35403</v>
      </c>
      <c r="K6" s="65">
        <v>-4964</v>
      </c>
      <c r="L6" s="65">
        <v>12306</v>
      </c>
      <c r="M6" s="65">
        <v>14773</v>
      </c>
    </row>
    <row r="7" spans="1:19" x14ac:dyDescent="0.25">
      <c r="A7" s="64" t="s">
        <v>173</v>
      </c>
      <c r="B7" s="65">
        <v>10703</v>
      </c>
      <c r="C7" s="65">
        <v>45839</v>
      </c>
      <c r="D7" s="65">
        <v>121690</v>
      </c>
      <c r="E7" s="65">
        <v>178232</v>
      </c>
      <c r="F7" s="65">
        <v>26378</v>
      </c>
      <c r="G7" s="65">
        <v>204611</v>
      </c>
      <c r="H7" s="65">
        <v>132511</v>
      </c>
      <c r="I7" s="65">
        <v>39023</v>
      </c>
      <c r="J7" s="65">
        <v>39326</v>
      </c>
      <c r="K7" s="65">
        <v>-3355</v>
      </c>
      <c r="L7" s="65">
        <v>14576</v>
      </c>
      <c r="M7" s="65">
        <v>17470</v>
      </c>
    </row>
    <row r="8" spans="1:19" x14ac:dyDescent="0.25">
      <c r="A8" s="64" t="s">
        <v>174</v>
      </c>
      <c r="B8" s="65">
        <v>11096</v>
      </c>
      <c r="C8" s="65">
        <v>49011</v>
      </c>
      <c r="D8" s="65">
        <v>134057</v>
      </c>
      <c r="E8" s="65">
        <v>194164</v>
      </c>
      <c r="F8" s="65">
        <v>27349</v>
      </c>
      <c r="G8" s="65">
        <v>221513</v>
      </c>
      <c r="H8" s="65">
        <v>142658</v>
      </c>
      <c r="I8" s="65">
        <v>41810</v>
      </c>
      <c r="J8" s="65">
        <v>41418</v>
      </c>
      <c r="K8" s="65">
        <v>994</v>
      </c>
      <c r="L8" s="65">
        <v>15560</v>
      </c>
      <c r="M8" s="65">
        <v>20928</v>
      </c>
    </row>
    <row r="9" spans="1:19" x14ac:dyDescent="0.25">
      <c r="A9" s="64" t="s">
        <v>175</v>
      </c>
      <c r="B9" s="65">
        <v>8906</v>
      </c>
      <c r="C9" s="65">
        <v>54631</v>
      </c>
      <c r="D9" s="65">
        <v>147001</v>
      </c>
      <c r="E9" s="65">
        <v>210538</v>
      </c>
      <c r="F9" s="65">
        <v>28778</v>
      </c>
      <c r="G9" s="65">
        <v>239316</v>
      </c>
      <c r="H9" s="65">
        <v>156087</v>
      </c>
      <c r="I9" s="65">
        <v>52324</v>
      </c>
      <c r="J9" s="65">
        <v>43187</v>
      </c>
      <c r="K9" s="65">
        <v>-4417</v>
      </c>
      <c r="L9" s="65">
        <v>15085</v>
      </c>
      <c r="M9" s="65">
        <v>22949</v>
      </c>
      <c r="N9" s="66">
        <v>1996</v>
      </c>
      <c r="O9" s="67">
        <f>SUM(G6:G9)</f>
        <v>854763</v>
      </c>
      <c r="Q9" s="66">
        <v>1996</v>
      </c>
      <c r="R9" s="67">
        <v>854763</v>
      </c>
    </row>
    <row r="10" spans="1:19" x14ac:dyDescent="0.25">
      <c r="A10" s="64" t="s">
        <v>176</v>
      </c>
      <c r="B10" s="65">
        <v>12338</v>
      </c>
      <c r="C10" s="65">
        <v>49072</v>
      </c>
      <c r="D10" s="65">
        <v>130715</v>
      </c>
      <c r="E10" s="65">
        <v>192125</v>
      </c>
      <c r="F10" s="65">
        <v>26992</v>
      </c>
      <c r="G10" s="65">
        <v>219117</v>
      </c>
      <c r="H10" s="65">
        <v>147808</v>
      </c>
      <c r="I10" s="65">
        <v>42139</v>
      </c>
      <c r="J10" s="65">
        <v>42697</v>
      </c>
      <c r="K10" s="65">
        <v>-7355</v>
      </c>
      <c r="L10" s="65">
        <v>13162</v>
      </c>
      <c r="M10" s="65">
        <v>19333</v>
      </c>
      <c r="Q10" s="66">
        <v>1997</v>
      </c>
      <c r="R10" s="67">
        <v>952089</v>
      </c>
      <c r="S10" s="68">
        <f>(R10/R9)-100%</f>
        <v>0.11386314101101713</v>
      </c>
    </row>
    <row r="11" spans="1:19" x14ac:dyDescent="0.25">
      <c r="A11" s="64" t="s">
        <v>177</v>
      </c>
      <c r="B11" s="65">
        <v>11625</v>
      </c>
      <c r="C11" s="65">
        <v>55636</v>
      </c>
      <c r="D11" s="65">
        <v>137028</v>
      </c>
      <c r="E11" s="65">
        <v>204289</v>
      </c>
      <c r="F11" s="65">
        <v>28600</v>
      </c>
      <c r="G11" s="65">
        <v>232890</v>
      </c>
      <c r="H11" s="65">
        <v>154447</v>
      </c>
      <c r="I11" s="65">
        <v>45485</v>
      </c>
      <c r="J11" s="65">
        <v>46189</v>
      </c>
      <c r="K11" s="65">
        <v>-8063</v>
      </c>
      <c r="L11" s="65">
        <v>17402</v>
      </c>
      <c r="M11" s="65">
        <v>22570</v>
      </c>
      <c r="Q11" s="66">
        <v>1998</v>
      </c>
      <c r="R11" s="67">
        <v>1002351</v>
      </c>
      <c r="S11" s="68">
        <f t="shared" ref="S11:S33" si="0">(R11/R10)-100%</f>
        <v>5.2791283167855196E-2</v>
      </c>
    </row>
    <row r="12" spans="1:19" x14ac:dyDescent="0.25">
      <c r="A12" s="64" t="s">
        <v>178</v>
      </c>
      <c r="B12" s="65">
        <v>10871</v>
      </c>
      <c r="C12" s="65">
        <v>57089</v>
      </c>
      <c r="D12" s="65">
        <v>148662</v>
      </c>
      <c r="E12" s="65">
        <v>216623</v>
      </c>
      <c r="F12" s="65">
        <v>29556</v>
      </c>
      <c r="G12" s="65">
        <v>246178</v>
      </c>
      <c r="H12" s="65">
        <v>157598</v>
      </c>
      <c r="I12" s="65">
        <v>45830</v>
      </c>
      <c r="J12" s="65">
        <v>47287</v>
      </c>
      <c r="K12" s="65">
        <v>2106</v>
      </c>
      <c r="L12" s="65">
        <v>18529</v>
      </c>
      <c r="M12" s="65">
        <v>25171</v>
      </c>
      <c r="Q12" s="66">
        <v>1999</v>
      </c>
      <c r="R12" s="67">
        <v>1087711</v>
      </c>
      <c r="S12" s="68">
        <f t="shared" si="0"/>
        <v>8.5159789335272684E-2</v>
      </c>
    </row>
    <row r="13" spans="1:19" x14ac:dyDescent="0.25">
      <c r="A13" s="64" t="s">
        <v>179</v>
      </c>
      <c r="B13" s="65">
        <v>9771</v>
      </c>
      <c r="C13" s="65">
        <v>53320</v>
      </c>
      <c r="D13" s="65">
        <v>160615</v>
      </c>
      <c r="E13" s="65">
        <v>223706</v>
      </c>
      <c r="F13" s="65">
        <v>30198</v>
      </c>
      <c r="G13" s="65">
        <v>253904</v>
      </c>
      <c r="H13" s="65">
        <v>161954</v>
      </c>
      <c r="I13" s="65">
        <v>52540</v>
      </c>
      <c r="J13" s="65">
        <v>45894</v>
      </c>
      <c r="K13" s="65">
        <v>374</v>
      </c>
      <c r="L13" s="65">
        <v>17398</v>
      </c>
      <c r="M13" s="65">
        <v>24255</v>
      </c>
      <c r="N13" s="66">
        <f>N9+1</f>
        <v>1997</v>
      </c>
      <c r="O13" s="67">
        <f>SUM(G10:G13)</f>
        <v>952089</v>
      </c>
      <c r="Q13" s="66">
        <v>2000</v>
      </c>
      <c r="R13" s="67">
        <v>1199093</v>
      </c>
      <c r="S13" s="68">
        <f t="shared" si="0"/>
        <v>0.10240036186082513</v>
      </c>
    </row>
    <row r="14" spans="1:19" x14ac:dyDescent="0.25">
      <c r="A14" s="64" t="s">
        <v>180</v>
      </c>
      <c r="B14" s="65">
        <v>11869</v>
      </c>
      <c r="C14" s="65">
        <v>52455</v>
      </c>
      <c r="D14" s="65">
        <v>142118</v>
      </c>
      <c r="E14" s="65">
        <v>206441</v>
      </c>
      <c r="F14" s="65">
        <v>29259</v>
      </c>
      <c r="G14" s="65">
        <v>235701</v>
      </c>
      <c r="H14" s="65">
        <v>157103</v>
      </c>
      <c r="I14" s="65">
        <v>46994</v>
      </c>
      <c r="J14" s="65">
        <v>45595</v>
      </c>
      <c r="K14" s="65">
        <v>-8376</v>
      </c>
      <c r="L14" s="65">
        <v>16099</v>
      </c>
      <c r="M14" s="65">
        <v>21714</v>
      </c>
      <c r="Q14" s="66">
        <v>2001</v>
      </c>
      <c r="R14" s="67">
        <v>1315756</v>
      </c>
      <c r="S14" s="68">
        <f t="shared" si="0"/>
        <v>9.7292703735239794E-2</v>
      </c>
    </row>
    <row r="15" spans="1:19" x14ac:dyDescent="0.25">
      <c r="A15" s="64" t="s">
        <v>181</v>
      </c>
      <c r="B15" s="65">
        <v>14202</v>
      </c>
      <c r="C15" s="65">
        <v>58383</v>
      </c>
      <c r="D15" s="65">
        <v>148554</v>
      </c>
      <c r="E15" s="65">
        <v>221139</v>
      </c>
      <c r="F15" s="65">
        <v>30797</v>
      </c>
      <c r="G15" s="65">
        <v>251936</v>
      </c>
      <c r="H15" s="65">
        <v>159194</v>
      </c>
      <c r="I15" s="65">
        <v>49307</v>
      </c>
      <c r="J15" s="65">
        <v>48379</v>
      </c>
      <c r="K15" s="65">
        <v>-853</v>
      </c>
      <c r="L15" s="65">
        <v>18805</v>
      </c>
      <c r="M15" s="65">
        <v>22896</v>
      </c>
      <c r="Q15" s="66">
        <v>2002</v>
      </c>
      <c r="R15" s="67">
        <v>1488788</v>
      </c>
      <c r="S15" s="68">
        <f t="shared" si="0"/>
        <v>0.13150766555501181</v>
      </c>
    </row>
    <row r="16" spans="1:19" x14ac:dyDescent="0.25">
      <c r="A16" s="64" t="s">
        <v>182</v>
      </c>
      <c r="B16" s="65">
        <v>13143</v>
      </c>
      <c r="C16" s="65">
        <v>58112</v>
      </c>
      <c r="D16" s="65">
        <v>156762</v>
      </c>
      <c r="E16" s="65">
        <v>228016</v>
      </c>
      <c r="F16" s="65">
        <v>30027</v>
      </c>
      <c r="G16" s="65">
        <v>258043</v>
      </c>
      <c r="H16" s="65">
        <v>163447</v>
      </c>
      <c r="I16" s="65">
        <v>49839</v>
      </c>
      <c r="J16" s="65">
        <v>47636</v>
      </c>
      <c r="K16" s="65">
        <v>3701</v>
      </c>
      <c r="L16" s="65">
        <v>18786</v>
      </c>
      <c r="M16" s="65">
        <v>25366</v>
      </c>
      <c r="Q16" s="66">
        <v>2003</v>
      </c>
      <c r="R16" s="67">
        <v>1717951</v>
      </c>
      <c r="S16" s="68">
        <f t="shared" si="0"/>
        <v>0.15392587796247681</v>
      </c>
    </row>
    <row r="17" spans="1:19" x14ac:dyDescent="0.25">
      <c r="A17" s="64" t="s">
        <v>183</v>
      </c>
      <c r="B17" s="65">
        <v>8399</v>
      </c>
      <c r="C17" s="65">
        <v>52759</v>
      </c>
      <c r="D17" s="65">
        <v>165189</v>
      </c>
      <c r="E17" s="65">
        <v>226347</v>
      </c>
      <c r="F17" s="65">
        <v>30324</v>
      </c>
      <c r="G17" s="65">
        <v>256671</v>
      </c>
      <c r="H17" s="65">
        <v>163187</v>
      </c>
      <c r="I17" s="65">
        <v>55037</v>
      </c>
      <c r="J17" s="65">
        <v>44249</v>
      </c>
      <c r="K17" s="65">
        <v>1743</v>
      </c>
      <c r="L17" s="65">
        <v>16781</v>
      </c>
      <c r="M17" s="65">
        <v>24326</v>
      </c>
      <c r="N17" s="66">
        <f>N13+1</f>
        <v>1998</v>
      </c>
      <c r="O17" s="67">
        <f>SUM(G14:G17)</f>
        <v>1002351</v>
      </c>
      <c r="Q17" s="66">
        <v>2004</v>
      </c>
      <c r="R17" s="67">
        <v>1957750</v>
      </c>
      <c r="S17" s="68">
        <f t="shared" si="0"/>
        <v>0.13958430711935321</v>
      </c>
    </row>
    <row r="18" spans="1:19" x14ac:dyDescent="0.25">
      <c r="A18" s="64" t="s">
        <v>184</v>
      </c>
      <c r="B18" s="65">
        <v>14190</v>
      </c>
      <c r="C18" s="65">
        <v>51004</v>
      </c>
      <c r="D18" s="65">
        <v>151486</v>
      </c>
      <c r="E18" s="65">
        <v>216680</v>
      </c>
      <c r="F18" s="65">
        <v>33988</v>
      </c>
      <c r="G18" s="65">
        <v>250668</v>
      </c>
      <c r="H18" s="65">
        <v>164893</v>
      </c>
      <c r="I18" s="65">
        <v>48863</v>
      </c>
      <c r="J18" s="65">
        <v>44121</v>
      </c>
      <c r="K18" s="65">
        <v>-3515</v>
      </c>
      <c r="L18" s="65">
        <v>22153</v>
      </c>
      <c r="M18" s="65">
        <v>25847</v>
      </c>
      <c r="Q18" s="66">
        <v>2005</v>
      </c>
      <c r="R18" s="67">
        <v>2170584</v>
      </c>
      <c r="S18" s="68">
        <f t="shared" si="0"/>
        <v>0.10871357425616135</v>
      </c>
    </row>
    <row r="19" spans="1:19" x14ac:dyDescent="0.25">
      <c r="A19" s="64" t="s">
        <v>185</v>
      </c>
      <c r="B19" s="65">
        <v>13487</v>
      </c>
      <c r="C19" s="65">
        <v>62478</v>
      </c>
      <c r="D19" s="65">
        <v>157083</v>
      </c>
      <c r="E19" s="65">
        <v>233048</v>
      </c>
      <c r="F19" s="65">
        <v>35661</v>
      </c>
      <c r="G19" s="65">
        <v>268709</v>
      </c>
      <c r="H19" s="65">
        <v>170252</v>
      </c>
      <c r="I19" s="65">
        <v>51749</v>
      </c>
      <c r="J19" s="65">
        <v>47152</v>
      </c>
      <c r="K19" s="65">
        <v>3829</v>
      </c>
      <c r="L19" s="65">
        <v>24728</v>
      </c>
      <c r="M19" s="65">
        <v>29001</v>
      </c>
      <c r="Q19" s="66">
        <v>2006</v>
      </c>
      <c r="R19" s="67">
        <v>2409450</v>
      </c>
      <c r="S19" s="68">
        <f t="shared" si="0"/>
        <v>0.1100468813922888</v>
      </c>
    </row>
    <row r="20" spans="1:19" x14ac:dyDescent="0.25">
      <c r="A20" s="64" t="s">
        <v>186</v>
      </c>
      <c r="B20" s="65">
        <v>11736</v>
      </c>
      <c r="C20" s="65">
        <v>61145</v>
      </c>
      <c r="D20" s="65">
        <v>164335</v>
      </c>
      <c r="E20" s="65">
        <v>237216</v>
      </c>
      <c r="F20" s="65">
        <v>36910</v>
      </c>
      <c r="G20" s="65">
        <v>274126</v>
      </c>
      <c r="H20" s="65">
        <v>178811</v>
      </c>
      <c r="I20" s="65">
        <v>53944</v>
      </c>
      <c r="J20" s="65">
        <v>46383</v>
      </c>
      <c r="K20" s="65">
        <v>312</v>
      </c>
      <c r="L20" s="65">
        <v>27646</v>
      </c>
      <c r="M20" s="65">
        <v>32971</v>
      </c>
      <c r="Q20" s="66">
        <v>2007</v>
      </c>
      <c r="R20" s="67">
        <v>2720263</v>
      </c>
      <c r="S20" s="68">
        <f t="shared" si="0"/>
        <v>0.12899748905351838</v>
      </c>
    </row>
    <row r="21" spans="1:19" x14ac:dyDescent="0.25">
      <c r="A21" s="64" t="s">
        <v>187</v>
      </c>
      <c r="B21" s="65">
        <v>11121</v>
      </c>
      <c r="C21" s="65">
        <v>61915</v>
      </c>
      <c r="D21" s="65">
        <v>181938</v>
      </c>
      <c r="E21" s="65">
        <v>254974</v>
      </c>
      <c r="F21" s="65">
        <v>39234</v>
      </c>
      <c r="G21" s="65">
        <v>294208</v>
      </c>
      <c r="H21" s="65">
        <v>189576</v>
      </c>
      <c r="I21" s="65">
        <v>60623</v>
      </c>
      <c r="J21" s="65">
        <v>47432</v>
      </c>
      <c r="K21" s="65">
        <v>3434</v>
      </c>
      <c r="L21" s="65">
        <v>29511</v>
      </c>
      <c r="M21" s="65">
        <v>36368</v>
      </c>
      <c r="N21" s="66">
        <f>N17+1</f>
        <v>1999</v>
      </c>
      <c r="O21" s="67">
        <f>SUM(G18:G21)</f>
        <v>1087711</v>
      </c>
      <c r="Q21" s="66">
        <v>2008</v>
      </c>
      <c r="R21" s="67">
        <v>3109803</v>
      </c>
      <c r="S21" s="68">
        <f t="shared" si="0"/>
        <v>0.14319938917670827</v>
      </c>
    </row>
    <row r="22" spans="1:19" x14ac:dyDescent="0.25">
      <c r="A22" s="64" t="s">
        <v>188</v>
      </c>
      <c r="B22" s="65">
        <v>16347</v>
      </c>
      <c r="C22" s="65">
        <v>62386</v>
      </c>
      <c r="D22" s="65">
        <v>160044</v>
      </c>
      <c r="E22" s="65">
        <v>238777</v>
      </c>
      <c r="F22" s="65">
        <v>38150</v>
      </c>
      <c r="G22" s="65">
        <v>276927</v>
      </c>
      <c r="H22" s="65">
        <v>176025</v>
      </c>
      <c r="I22" s="65">
        <v>49216</v>
      </c>
      <c r="J22" s="65">
        <v>56887</v>
      </c>
      <c r="K22" s="65">
        <v>-497</v>
      </c>
      <c r="L22" s="65">
        <v>26402</v>
      </c>
      <c r="M22" s="65">
        <v>31107</v>
      </c>
      <c r="Q22" s="66">
        <v>2009</v>
      </c>
      <c r="R22" s="67">
        <v>3333039</v>
      </c>
      <c r="S22" s="68">
        <f t="shared" si="0"/>
        <v>7.1784611436801704E-2</v>
      </c>
    </row>
    <row r="23" spans="1:19" x14ac:dyDescent="0.25">
      <c r="A23" s="64" t="s">
        <v>189</v>
      </c>
      <c r="B23" s="65">
        <v>15218</v>
      </c>
      <c r="C23" s="65">
        <v>70463</v>
      </c>
      <c r="D23" s="65">
        <v>166882</v>
      </c>
      <c r="E23" s="65">
        <v>252563</v>
      </c>
      <c r="F23" s="65">
        <v>40225</v>
      </c>
      <c r="G23" s="65">
        <v>292789</v>
      </c>
      <c r="H23" s="65">
        <v>189996</v>
      </c>
      <c r="I23" s="65">
        <v>52695</v>
      </c>
      <c r="J23" s="65">
        <v>53911</v>
      </c>
      <c r="K23" s="65">
        <v>931</v>
      </c>
      <c r="L23" s="65">
        <v>30239</v>
      </c>
      <c r="M23" s="65">
        <v>34983</v>
      </c>
      <c r="Q23" s="66">
        <v>2010</v>
      </c>
      <c r="R23" s="67">
        <v>3885847</v>
      </c>
      <c r="S23" s="68">
        <f t="shared" si="0"/>
        <v>0.1658570451770891</v>
      </c>
    </row>
    <row r="24" spans="1:19" x14ac:dyDescent="0.25">
      <c r="A24" s="64" t="s">
        <v>190</v>
      </c>
      <c r="B24" s="65">
        <v>15178</v>
      </c>
      <c r="C24" s="65">
        <v>71089</v>
      </c>
      <c r="D24" s="65">
        <v>178914</v>
      </c>
      <c r="E24" s="65">
        <v>265181</v>
      </c>
      <c r="F24" s="65">
        <v>43715</v>
      </c>
      <c r="G24" s="65">
        <v>308896</v>
      </c>
      <c r="H24" s="65">
        <v>200012</v>
      </c>
      <c r="I24" s="65">
        <v>54588</v>
      </c>
      <c r="J24" s="65">
        <v>53879</v>
      </c>
      <c r="K24" s="65">
        <v>6805</v>
      </c>
      <c r="L24" s="65">
        <v>33768</v>
      </c>
      <c r="M24" s="65">
        <v>40155</v>
      </c>
      <c r="Q24" s="66">
        <v>2011</v>
      </c>
      <c r="R24" s="67">
        <v>4376382</v>
      </c>
      <c r="S24" s="68">
        <f t="shared" si="0"/>
        <v>0.12623631347297004</v>
      </c>
    </row>
    <row r="25" spans="1:19" x14ac:dyDescent="0.25">
      <c r="A25" s="64" t="s">
        <v>191</v>
      </c>
      <c r="B25" s="65">
        <v>10220</v>
      </c>
      <c r="C25" s="65">
        <v>71932</v>
      </c>
      <c r="D25" s="65">
        <v>192653</v>
      </c>
      <c r="E25" s="65">
        <v>274805</v>
      </c>
      <c r="F25" s="65">
        <v>45675</v>
      </c>
      <c r="G25" s="65">
        <v>320481</v>
      </c>
      <c r="H25" s="65">
        <v>208493</v>
      </c>
      <c r="I25" s="65">
        <v>68544</v>
      </c>
      <c r="J25" s="65">
        <v>54811</v>
      </c>
      <c r="K25" s="65">
        <v>-61</v>
      </c>
      <c r="L25" s="65">
        <v>31756</v>
      </c>
      <c r="M25" s="65">
        <v>43062</v>
      </c>
      <c r="N25" s="66">
        <f>N21+1</f>
        <v>2000</v>
      </c>
      <c r="O25" s="67">
        <f>SUM(G22:G25)</f>
        <v>1199093</v>
      </c>
      <c r="Q25" s="66">
        <v>2012</v>
      </c>
      <c r="R25" s="67">
        <v>4814761</v>
      </c>
      <c r="S25" s="68">
        <f t="shared" si="0"/>
        <v>0.10016927224360206</v>
      </c>
    </row>
    <row r="26" spans="1:19" x14ac:dyDescent="0.25">
      <c r="A26" s="64" t="s">
        <v>192</v>
      </c>
      <c r="B26" s="65">
        <v>17485</v>
      </c>
      <c r="C26" s="65">
        <v>74965</v>
      </c>
      <c r="D26" s="65">
        <v>173002</v>
      </c>
      <c r="E26" s="65">
        <v>265452</v>
      </c>
      <c r="F26" s="65">
        <v>47018</v>
      </c>
      <c r="G26" s="65">
        <v>312470</v>
      </c>
      <c r="H26" s="65">
        <v>203369</v>
      </c>
      <c r="I26" s="65">
        <v>55190</v>
      </c>
      <c r="J26" s="65">
        <v>61689</v>
      </c>
      <c r="K26" s="65">
        <v>1547</v>
      </c>
      <c r="L26" s="65">
        <v>33576</v>
      </c>
      <c r="M26" s="65">
        <v>42902</v>
      </c>
      <c r="Q26" s="66">
        <v>2013</v>
      </c>
      <c r="R26" s="67">
        <v>5331619</v>
      </c>
      <c r="S26" s="68">
        <f t="shared" si="0"/>
        <v>0.10734863059661737</v>
      </c>
    </row>
    <row r="27" spans="1:19" x14ac:dyDescent="0.25">
      <c r="A27" s="64" t="s">
        <v>193</v>
      </c>
      <c r="B27" s="65">
        <v>17314</v>
      </c>
      <c r="C27" s="65">
        <v>73981</v>
      </c>
      <c r="D27" s="65">
        <v>182907</v>
      </c>
      <c r="E27" s="65">
        <v>274203</v>
      </c>
      <c r="F27" s="65">
        <v>49521</v>
      </c>
      <c r="G27" s="65">
        <v>323724</v>
      </c>
      <c r="H27" s="65">
        <v>210284</v>
      </c>
      <c r="I27" s="65">
        <v>58687</v>
      </c>
      <c r="J27" s="65">
        <v>62067</v>
      </c>
      <c r="K27" s="65">
        <v>426</v>
      </c>
      <c r="L27" s="65">
        <v>40837</v>
      </c>
      <c r="M27" s="65">
        <v>48577</v>
      </c>
      <c r="Q27" s="66">
        <v>2014</v>
      </c>
      <c r="R27" s="67">
        <v>5778953</v>
      </c>
      <c r="S27" s="68">
        <f t="shared" si="0"/>
        <v>8.3902094279429962E-2</v>
      </c>
    </row>
    <row r="28" spans="1:19" x14ac:dyDescent="0.25">
      <c r="A28" s="64" t="s">
        <v>194</v>
      </c>
      <c r="B28" s="65">
        <v>14694</v>
      </c>
      <c r="C28" s="65">
        <v>75782</v>
      </c>
      <c r="D28" s="65">
        <v>192740</v>
      </c>
      <c r="E28" s="65">
        <v>283216</v>
      </c>
      <c r="F28" s="65">
        <v>49308</v>
      </c>
      <c r="G28" s="65">
        <v>332524</v>
      </c>
      <c r="H28" s="65">
        <v>211486</v>
      </c>
      <c r="I28" s="65">
        <v>59988</v>
      </c>
      <c r="J28" s="65">
        <v>60427</v>
      </c>
      <c r="K28" s="65">
        <v>6445</v>
      </c>
      <c r="L28" s="65">
        <v>45701</v>
      </c>
      <c r="M28" s="65">
        <v>51523</v>
      </c>
      <c r="Q28" s="66">
        <v>2015</v>
      </c>
      <c r="R28" s="67">
        <v>5995788</v>
      </c>
      <c r="S28" s="68">
        <f t="shared" si="0"/>
        <v>3.7521502597442913E-2</v>
      </c>
    </row>
    <row r="29" spans="1:19" x14ac:dyDescent="0.25">
      <c r="A29" s="64" t="s">
        <v>195</v>
      </c>
      <c r="B29" s="65">
        <v>13676</v>
      </c>
      <c r="C29" s="65">
        <v>73153</v>
      </c>
      <c r="D29" s="65">
        <v>210722</v>
      </c>
      <c r="E29" s="65">
        <v>297551</v>
      </c>
      <c r="F29" s="65">
        <v>49487</v>
      </c>
      <c r="G29" s="65">
        <v>347038</v>
      </c>
      <c r="H29" s="65">
        <v>218362</v>
      </c>
      <c r="I29" s="65">
        <v>80645</v>
      </c>
      <c r="J29" s="65">
        <v>58153</v>
      </c>
      <c r="K29" s="65">
        <v>-4158</v>
      </c>
      <c r="L29" s="65">
        <v>42667</v>
      </c>
      <c r="M29" s="65">
        <v>48633</v>
      </c>
      <c r="N29" s="66">
        <f>N25+1</f>
        <v>2001</v>
      </c>
      <c r="O29" s="67">
        <f>SUM(G26:G29)</f>
        <v>1315756</v>
      </c>
      <c r="Q29" s="66">
        <v>2016</v>
      </c>
      <c r="R29" s="67">
        <v>6269329</v>
      </c>
      <c r="S29" s="68">
        <f t="shared" si="0"/>
        <v>4.5622193446466008E-2</v>
      </c>
    </row>
    <row r="30" spans="1:19" x14ac:dyDescent="0.25">
      <c r="A30" s="64" t="s">
        <v>196</v>
      </c>
      <c r="B30" s="65">
        <v>22074</v>
      </c>
      <c r="C30" s="65">
        <v>73585</v>
      </c>
      <c r="D30" s="65">
        <v>195721</v>
      </c>
      <c r="E30" s="65">
        <v>291380</v>
      </c>
      <c r="F30" s="65">
        <v>50916</v>
      </c>
      <c r="G30" s="65">
        <v>342297</v>
      </c>
      <c r="H30" s="65">
        <v>215913</v>
      </c>
      <c r="I30" s="65">
        <v>65697</v>
      </c>
      <c r="J30" s="65">
        <v>62806</v>
      </c>
      <c r="K30" s="65">
        <v>1804</v>
      </c>
      <c r="L30" s="65">
        <v>34812</v>
      </c>
      <c r="M30" s="65">
        <v>38735</v>
      </c>
      <c r="Q30" s="66">
        <v>2017</v>
      </c>
      <c r="R30" s="67">
        <v>6585478</v>
      </c>
      <c r="S30" s="68">
        <f t="shared" si="0"/>
        <v>5.0427884706640835E-2</v>
      </c>
    </row>
    <row r="31" spans="1:19" x14ac:dyDescent="0.25">
      <c r="A31" s="64" t="s">
        <v>197</v>
      </c>
      <c r="B31" s="65">
        <v>21534</v>
      </c>
      <c r="C31" s="65">
        <v>84313</v>
      </c>
      <c r="D31" s="65">
        <v>208326</v>
      </c>
      <c r="E31" s="65">
        <v>314173</v>
      </c>
      <c r="F31" s="65">
        <v>53190</v>
      </c>
      <c r="G31" s="65">
        <v>367363</v>
      </c>
      <c r="H31" s="65">
        <v>225796</v>
      </c>
      <c r="I31" s="65">
        <v>71519</v>
      </c>
      <c r="J31" s="65">
        <v>65569</v>
      </c>
      <c r="K31" s="65">
        <v>7826</v>
      </c>
      <c r="L31" s="65">
        <v>38896</v>
      </c>
      <c r="M31" s="65">
        <v>42244</v>
      </c>
      <c r="Q31" s="66">
        <v>2018</v>
      </c>
      <c r="R31" s="67">
        <v>7004141</v>
      </c>
      <c r="S31" s="68">
        <f>(R31/R30)-100%</f>
        <v>6.3573669215810868E-2</v>
      </c>
    </row>
    <row r="32" spans="1:19" x14ac:dyDescent="0.25">
      <c r="A32" s="64" t="s">
        <v>198</v>
      </c>
      <c r="B32" s="65">
        <v>21463</v>
      </c>
      <c r="C32" s="65">
        <v>85894</v>
      </c>
      <c r="D32" s="65">
        <v>217429</v>
      </c>
      <c r="E32" s="65">
        <v>324786</v>
      </c>
      <c r="F32" s="65">
        <v>55008</v>
      </c>
      <c r="G32" s="65">
        <v>379795</v>
      </c>
      <c r="H32" s="65">
        <v>233655</v>
      </c>
      <c r="I32" s="65">
        <v>68751</v>
      </c>
      <c r="J32" s="65">
        <v>67912</v>
      </c>
      <c r="K32" s="65">
        <v>-235</v>
      </c>
      <c r="L32" s="65">
        <v>65894</v>
      </c>
      <c r="M32" s="65">
        <v>56182</v>
      </c>
      <c r="Q32" s="66">
        <v>2019</v>
      </c>
      <c r="R32" s="67">
        <v>7407023</v>
      </c>
      <c r="S32" s="68">
        <f t="shared" si="0"/>
        <v>5.752054391823358E-2</v>
      </c>
    </row>
    <row r="33" spans="1:19" x14ac:dyDescent="0.25">
      <c r="A33" s="64" t="s">
        <v>199</v>
      </c>
      <c r="B33" s="65">
        <v>16444</v>
      </c>
      <c r="C33" s="65">
        <v>91116</v>
      </c>
      <c r="D33" s="65">
        <v>232315</v>
      </c>
      <c r="E33" s="65">
        <v>339875</v>
      </c>
      <c r="F33" s="65">
        <v>59459</v>
      </c>
      <c r="G33" s="65">
        <v>399333</v>
      </c>
      <c r="H33" s="65">
        <v>246172</v>
      </c>
      <c r="I33" s="65">
        <v>88957</v>
      </c>
      <c r="J33" s="65">
        <v>70596</v>
      </c>
      <c r="K33" s="65">
        <v>-16499</v>
      </c>
      <c r="L33" s="65">
        <v>72262</v>
      </c>
      <c r="M33" s="65">
        <v>62154</v>
      </c>
      <c r="N33" s="66">
        <f>N29+1</f>
        <v>2002</v>
      </c>
      <c r="O33" s="67">
        <f>SUM(G30:G33)</f>
        <v>1488788</v>
      </c>
      <c r="Q33" s="66">
        <v>2020</v>
      </c>
      <c r="R33" s="67">
        <v>7447858</v>
      </c>
      <c r="S33" s="68">
        <f t="shared" si="0"/>
        <v>5.5130110977108515E-3</v>
      </c>
    </row>
    <row r="34" spans="1:19" x14ac:dyDescent="0.25">
      <c r="A34" s="64" t="s">
        <v>200</v>
      </c>
      <c r="B34" s="65">
        <v>30850</v>
      </c>
      <c r="C34" s="65">
        <v>88506</v>
      </c>
      <c r="D34" s="65">
        <v>217385</v>
      </c>
      <c r="E34" s="65">
        <v>336741</v>
      </c>
      <c r="F34" s="65">
        <v>60501</v>
      </c>
      <c r="G34" s="65">
        <v>397242</v>
      </c>
      <c r="H34" s="65">
        <v>257432</v>
      </c>
      <c r="I34" s="65">
        <v>70185</v>
      </c>
      <c r="J34" s="65">
        <v>70262</v>
      </c>
      <c r="K34" s="65">
        <v>-5652</v>
      </c>
      <c r="L34" s="65">
        <v>63031</v>
      </c>
      <c r="M34" s="65">
        <v>58016</v>
      </c>
    </row>
    <row r="35" spans="1:19" x14ac:dyDescent="0.25">
      <c r="A35" s="64" t="s">
        <v>201</v>
      </c>
      <c r="B35" s="65">
        <v>29205</v>
      </c>
      <c r="C35" s="65">
        <v>96082</v>
      </c>
      <c r="D35" s="65">
        <v>232389</v>
      </c>
      <c r="E35" s="65">
        <v>357676</v>
      </c>
      <c r="F35" s="65">
        <v>61311</v>
      </c>
      <c r="G35" s="65">
        <v>418987</v>
      </c>
      <c r="H35" s="65">
        <v>260277</v>
      </c>
      <c r="I35" s="65">
        <v>78572</v>
      </c>
      <c r="J35" s="65">
        <v>68696</v>
      </c>
      <c r="K35" s="65">
        <v>1755</v>
      </c>
      <c r="L35" s="65">
        <v>62162</v>
      </c>
      <c r="M35" s="65">
        <v>52474</v>
      </c>
    </row>
    <row r="36" spans="1:19" x14ac:dyDescent="0.25">
      <c r="A36" s="64" t="s">
        <v>202</v>
      </c>
      <c r="B36" s="65">
        <v>25418</v>
      </c>
      <c r="C36" s="65">
        <v>105419</v>
      </c>
      <c r="D36" s="65">
        <v>247311</v>
      </c>
      <c r="E36" s="65">
        <v>378148</v>
      </c>
      <c r="F36" s="65">
        <v>61202</v>
      </c>
      <c r="G36" s="65">
        <v>439350</v>
      </c>
      <c r="H36" s="65">
        <v>267445</v>
      </c>
      <c r="I36" s="65">
        <v>82553</v>
      </c>
      <c r="J36" s="65">
        <v>71785</v>
      </c>
      <c r="K36" s="65">
        <v>5204</v>
      </c>
      <c r="L36" s="65">
        <v>66754</v>
      </c>
      <c r="M36" s="65">
        <v>54391</v>
      </c>
    </row>
    <row r="37" spans="1:19" x14ac:dyDescent="0.25">
      <c r="A37" s="64" t="s">
        <v>203</v>
      </c>
      <c r="B37" s="65">
        <v>20477</v>
      </c>
      <c r="C37" s="65">
        <v>106561</v>
      </c>
      <c r="D37" s="65">
        <v>271114</v>
      </c>
      <c r="E37" s="65">
        <v>398152</v>
      </c>
      <c r="F37" s="65">
        <v>64220</v>
      </c>
      <c r="G37" s="65">
        <v>462372</v>
      </c>
      <c r="H37" s="65">
        <v>277306</v>
      </c>
      <c r="I37" s="65">
        <v>96431</v>
      </c>
      <c r="J37" s="65">
        <v>74519</v>
      </c>
      <c r="K37" s="65">
        <v>3021</v>
      </c>
      <c r="L37" s="65">
        <v>68852</v>
      </c>
      <c r="M37" s="65">
        <v>57759</v>
      </c>
      <c r="N37" s="66">
        <f>N33+1</f>
        <v>2003</v>
      </c>
      <c r="O37" s="67">
        <f>SUM(G34:G37)</f>
        <v>1717951</v>
      </c>
    </row>
    <row r="38" spans="1:19" x14ac:dyDescent="0.25">
      <c r="A38" s="64" t="s">
        <v>204</v>
      </c>
      <c r="B38" s="65">
        <v>34343</v>
      </c>
      <c r="C38" s="65">
        <v>102779</v>
      </c>
      <c r="D38" s="65">
        <v>242776</v>
      </c>
      <c r="E38" s="65">
        <v>379899</v>
      </c>
      <c r="F38" s="65">
        <v>64885</v>
      </c>
      <c r="G38" s="65">
        <v>444783</v>
      </c>
      <c r="H38" s="65">
        <v>274159</v>
      </c>
      <c r="I38" s="65">
        <v>76588</v>
      </c>
      <c r="J38" s="65">
        <v>76797</v>
      </c>
      <c r="K38" s="65">
        <v>5596</v>
      </c>
      <c r="L38" s="65">
        <v>66313</v>
      </c>
      <c r="M38" s="65">
        <v>54670</v>
      </c>
    </row>
    <row r="39" spans="1:19" x14ac:dyDescent="0.25">
      <c r="A39" s="64" t="s">
        <v>205</v>
      </c>
      <c r="B39" s="65">
        <v>34585</v>
      </c>
      <c r="C39" s="65">
        <v>117825</v>
      </c>
      <c r="D39" s="65">
        <v>257771</v>
      </c>
      <c r="E39" s="65">
        <v>410181</v>
      </c>
      <c r="F39" s="65">
        <v>71613</v>
      </c>
      <c r="G39" s="65">
        <v>481795</v>
      </c>
      <c r="H39" s="65">
        <v>284833</v>
      </c>
      <c r="I39" s="65">
        <v>84760</v>
      </c>
      <c r="J39" s="65">
        <v>83337</v>
      </c>
      <c r="K39" s="65">
        <v>9433</v>
      </c>
      <c r="L39" s="65">
        <v>82950</v>
      </c>
      <c r="M39" s="65">
        <v>63518</v>
      </c>
    </row>
    <row r="40" spans="1:19" x14ac:dyDescent="0.25">
      <c r="A40" s="64" t="s">
        <v>206</v>
      </c>
      <c r="B40" s="65">
        <v>25124</v>
      </c>
      <c r="C40" s="65">
        <v>127076</v>
      </c>
      <c r="D40" s="65">
        <v>274301</v>
      </c>
      <c r="E40" s="65">
        <v>426501</v>
      </c>
      <c r="F40" s="65">
        <v>78751</v>
      </c>
      <c r="G40" s="65">
        <v>505252</v>
      </c>
      <c r="H40" s="65">
        <v>301881</v>
      </c>
      <c r="I40" s="65">
        <v>90362</v>
      </c>
      <c r="J40" s="65">
        <v>90684</v>
      </c>
      <c r="K40" s="65">
        <v>1330</v>
      </c>
      <c r="L40" s="65">
        <v>90341</v>
      </c>
      <c r="M40" s="65">
        <v>69346</v>
      </c>
    </row>
    <row r="41" spans="1:19" x14ac:dyDescent="0.25">
      <c r="A41" s="64" t="s">
        <v>207</v>
      </c>
      <c r="B41" s="65">
        <v>16860</v>
      </c>
      <c r="C41" s="65">
        <v>128183</v>
      </c>
      <c r="D41" s="65">
        <v>300358</v>
      </c>
      <c r="E41" s="65">
        <v>445401</v>
      </c>
      <c r="F41" s="65">
        <v>80519</v>
      </c>
      <c r="G41" s="65">
        <v>525920</v>
      </c>
      <c r="H41" s="65">
        <v>317821</v>
      </c>
      <c r="I41" s="65">
        <v>109840</v>
      </c>
      <c r="J41" s="65">
        <v>88268</v>
      </c>
      <c r="K41" s="65">
        <v>-4763</v>
      </c>
      <c r="L41" s="65">
        <v>84321</v>
      </c>
      <c r="M41" s="65">
        <v>69567</v>
      </c>
      <c r="N41" s="66">
        <f>N37+1</f>
        <v>2004</v>
      </c>
      <c r="O41" s="67">
        <f>SUM(G38:G41)</f>
        <v>1957750</v>
      </c>
    </row>
    <row r="42" spans="1:19" x14ac:dyDescent="0.25">
      <c r="A42" s="64" t="s">
        <v>208</v>
      </c>
      <c r="B42" s="65">
        <v>27589</v>
      </c>
      <c r="C42" s="65">
        <v>119602</v>
      </c>
      <c r="D42" s="65">
        <v>275247</v>
      </c>
      <c r="E42" s="65">
        <v>422438</v>
      </c>
      <c r="F42" s="65">
        <v>77272</v>
      </c>
      <c r="G42" s="65">
        <v>499710</v>
      </c>
      <c r="H42" s="65">
        <v>308544</v>
      </c>
      <c r="I42" s="65">
        <v>89562</v>
      </c>
      <c r="J42" s="65">
        <v>85394</v>
      </c>
      <c r="K42" s="65">
        <v>773</v>
      </c>
      <c r="L42" s="65">
        <v>77093</v>
      </c>
      <c r="M42" s="65">
        <v>61656</v>
      </c>
    </row>
    <row r="43" spans="1:19" x14ac:dyDescent="0.25">
      <c r="A43" s="64" t="s">
        <v>209</v>
      </c>
      <c r="B43" s="65">
        <v>27174</v>
      </c>
      <c r="C43" s="65">
        <v>133729</v>
      </c>
      <c r="D43" s="65">
        <v>294768</v>
      </c>
      <c r="E43" s="65">
        <v>455670</v>
      </c>
      <c r="F43" s="65">
        <v>79887</v>
      </c>
      <c r="G43" s="65">
        <v>535557</v>
      </c>
      <c r="H43" s="65">
        <v>321752</v>
      </c>
      <c r="I43" s="65">
        <v>95935</v>
      </c>
      <c r="J43" s="65">
        <v>92729</v>
      </c>
      <c r="K43" s="65">
        <v>7349</v>
      </c>
      <c r="L43" s="65">
        <v>82694</v>
      </c>
      <c r="M43" s="65">
        <v>64902</v>
      </c>
    </row>
    <row r="44" spans="1:19" x14ac:dyDescent="0.25">
      <c r="A44" s="64" t="s">
        <v>210</v>
      </c>
      <c r="B44" s="65">
        <v>26472</v>
      </c>
      <c r="C44" s="65">
        <v>135196</v>
      </c>
      <c r="D44" s="65">
        <v>308829</v>
      </c>
      <c r="E44" s="65">
        <v>470496</v>
      </c>
      <c r="F44" s="65">
        <v>82363</v>
      </c>
      <c r="G44" s="65">
        <v>552859</v>
      </c>
      <c r="H44" s="65">
        <v>332896</v>
      </c>
      <c r="I44" s="65">
        <v>99485</v>
      </c>
      <c r="J44" s="65">
        <v>96634</v>
      </c>
      <c r="K44" s="65">
        <v>1882</v>
      </c>
      <c r="L44" s="65">
        <v>88087</v>
      </c>
      <c r="M44" s="65">
        <v>66125</v>
      </c>
    </row>
    <row r="45" spans="1:19" x14ac:dyDescent="0.25">
      <c r="A45" s="64" t="s">
        <v>211</v>
      </c>
      <c r="B45" s="65">
        <v>19723</v>
      </c>
      <c r="C45" s="65">
        <v>136160</v>
      </c>
      <c r="D45" s="65">
        <v>338331</v>
      </c>
      <c r="E45" s="65">
        <v>494213</v>
      </c>
      <c r="F45" s="65">
        <v>88244</v>
      </c>
      <c r="G45" s="65">
        <v>582458</v>
      </c>
      <c r="H45" s="65">
        <v>350104</v>
      </c>
      <c r="I45" s="65">
        <v>125041</v>
      </c>
      <c r="J45" s="65">
        <v>95462</v>
      </c>
      <c r="K45" s="65">
        <v>-6777</v>
      </c>
      <c r="L45" s="65">
        <v>83006</v>
      </c>
      <c r="M45" s="65">
        <v>64378</v>
      </c>
      <c r="N45" s="66">
        <f>N41+1</f>
        <v>2005</v>
      </c>
      <c r="O45" s="67">
        <f>SUM(G42:G45)</f>
        <v>2170584</v>
      </c>
    </row>
    <row r="46" spans="1:19" x14ac:dyDescent="0.25">
      <c r="A46" s="64" t="s">
        <v>212</v>
      </c>
      <c r="B46" s="65">
        <v>28065</v>
      </c>
      <c r="C46" s="65">
        <v>128090</v>
      </c>
      <c r="D46" s="65">
        <v>313132</v>
      </c>
      <c r="E46" s="65">
        <v>469287</v>
      </c>
      <c r="F46" s="65">
        <v>84984</v>
      </c>
      <c r="G46" s="65">
        <v>554270</v>
      </c>
      <c r="H46" s="65">
        <v>345002</v>
      </c>
      <c r="I46" s="65">
        <v>100992</v>
      </c>
      <c r="J46" s="65">
        <v>96723</v>
      </c>
      <c r="K46" s="65">
        <v>-1707</v>
      </c>
      <c r="L46" s="65">
        <v>76051</v>
      </c>
      <c r="M46" s="65">
        <v>62790</v>
      </c>
    </row>
    <row r="47" spans="1:19" x14ac:dyDescent="0.25">
      <c r="A47" s="64" t="s">
        <v>213</v>
      </c>
      <c r="B47" s="65">
        <v>26201</v>
      </c>
      <c r="C47" s="65">
        <v>139270</v>
      </c>
      <c r="D47" s="65">
        <v>330663</v>
      </c>
      <c r="E47" s="65">
        <v>496134</v>
      </c>
      <c r="F47" s="65">
        <v>85843</v>
      </c>
      <c r="G47" s="65">
        <v>581977</v>
      </c>
      <c r="H47" s="65">
        <v>355817</v>
      </c>
      <c r="I47" s="65">
        <v>105729</v>
      </c>
      <c r="J47" s="65">
        <v>100733</v>
      </c>
      <c r="K47" s="65">
        <v>6668</v>
      </c>
      <c r="L47" s="65">
        <v>79742</v>
      </c>
      <c r="M47" s="65">
        <v>66712</v>
      </c>
    </row>
    <row r="48" spans="1:19" x14ac:dyDescent="0.25">
      <c r="A48" s="64" t="s">
        <v>214</v>
      </c>
      <c r="B48" s="65">
        <v>28662</v>
      </c>
      <c r="C48" s="65">
        <v>149671</v>
      </c>
      <c r="D48" s="65">
        <v>349557</v>
      </c>
      <c r="E48" s="65">
        <v>527890</v>
      </c>
      <c r="F48" s="65">
        <v>89958</v>
      </c>
      <c r="G48" s="65">
        <v>617848</v>
      </c>
      <c r="H48" s="65">
        <v>368734</v>
      </c>
      <c r="I48" s="65">
        <v>111875</v>
      </c>
      <c r="J48" s="65">
        <v>108368</v>
      </c>
      <c r="K48" s="65">
        <v>6820</v>
      </c>
      <c r="L48" s="65">
        <v>98608</v>
      </c>
      <c r="M48" s="65">
        <v>76558</v>
      </c>
    </row>
    <row r="49" spans="1:15" x14ac:dyDescent="0.25">
      <c r="A49" s="64" t="s">
        <v>215</v>
      </c>
      <c r="B49" s="65">
        <v>22366</v>
      </c>
      <c r="C49" s="65">
        <v>150251</v>
      </c>
      <c r="D49" s="65">
        <v>383363</v>
      </c>
      <c r="E49" s="65">
        <v>555979</v>
      </c>
      <c r="F49" s="65">
        <v>99376</v>
      </c>
      <c r="G49" s="65">
        <v>655355</v>
      </c>
      <c r="H49" s="65">
        <v>386663</v>
      </c>
      <c r="I49" s="65">
        <v>140138</v>
      </c>
      <c r="J49" s="65">
        <v>108850</v>
      </c>
      <c r="K49" s="65">
        <v>2824</v>
      </c>
      <c r="L49" s="65">
        <v>91941</v>
      </c>
      <c r="M49" s="65">
        <v>75060</v>
      </c>
      <c r="N49" s="66">
        <f>N45+1</f>
        <v>2006</v>
      </c>
      <c r="O49" s="67">
        <f>SUM(G46:G49)</f>
        <v>2409450</v>
      </c>
    </row>
    <row r="50" spans="1:15" x14ac:dyDescent="0.25">
      <c r="A50" s="64" t="s">
        <v>216</v>
      </c>
      <c r="B50" s="65">
        <v>34346</v>
      </c>
      <c r="C50" s="65">
        <v>141044</v>
      </c>
      <c r="D50" s="65">
        <v>363472</v>
      </c>
      <c r="E50" s="65">
        <v>538861</v>
      </c>
      <c r="F50" s="65">
        <v>92562</v>
      </c>
      <c r="G50" s="65">
        <v>631423</v>
      </c>
      <c r="H50" s="65">
        <v>384999</v>
      </c>
      <c r="I50" s="65">
        <v>114489</v>
      </c>
      <c r="J50" s="65">
        <v>109267</v>
      </c>
      <c r="K50" s="65">
        <v>13577</v>
      </c>
      <c r="L50" s="65">
        <v>85074</v>
      </c>
      <c r="M50" s="65">
        <v>75983</v>
      </c>
    </row>
    <row r="51" spans="1:15" x14ac:dyDescent="0.25">
      <c r="A51" s="64" t="s">
        <v>217</v>
      </c>
      <c r="B51" s="65">
        <v>32718</v>
      </c>
      <c r="C51" s="65">
        <v>155432</v>
      </c>
      <c r="D51" s="65">
        <v>385915</v>
      </c>
      <c r="E51" s="65">
        <v>574065</v>
      </c>
      <c r="F51" s="65">
        <v>96590</v>
      </c>
      <c r="G51" s="65">
        <v>670655</v>
      </c>
      <c r="H51" s="65">
        <v>400751</v>
      </c>
      <c r="I51" s="65">
        <v>123655</v>
      </c>
      <c r="J51" s="65">
        <v>119167</v>
      </c>
      <c r="K51" s="65">
        <v>15017</v>
      </c>
      <c r="L51" s="65">
        <v>89585</v>
      </c>
      <c r="M51" s="65">
        <v>77520</v>
      </c>
    </row>
    <row r="52" spans="1:15" x14ac:dyDescent="0.25">
      <c r="A52" s="64" t="s">
        <v>218</v>
      </c>
      <c r="B52" s="65">
        <v>29821</v>
      </c>
      <c r="C52" s="65">
        <v>166712</v>
      </c>
      <c r="D52" s="65">
        <v>392991</v>
      </c>
      <c r="E52" s="65">
        <v>589524</v>
      </c>
      <c r="F52" s="65">
        <v>102322</v>
      </c>
      <c r="G52" s="65">
        <v>691846</v>
      </c>
      <c r="H52" s="65">
        <v>410354</v>
      </c>
      <c r="I52" s="65">
        <v>125131</v>
      </c>
      <c r="J52" s="65">
        <v>129921</v>
      </c>
      <c r="K52" s="65">
        <v>16545</v>
      </c>
      <c r="L52" s="65">
        <v>95807</v>
      </c>
      <c r="M52" s="65">
        <v>85912</v>
      </c>
    </row>
    <row r="53" spans="1:15" x14ac:dyDescent="0.25">
      <c r="A53" s="64" t="s">
        <v>219</v>
      </c>
      <c r="B53" s="65">
        <v>23267</v>
      </c>
      <c r="C53" s="65">
        <v>165884</v>
      </c>
      <c r="D53" s="65">
        <v>427928</v>
      </c>
      <c r="E53" s="65">
        <v>617078</v>
      </c>
      <c r="F53" s="65">
        <v>109261</v>
      </c>
      <c r="G53" s="65">
        <v>726339</v>
      </c>
      <c r="H53" s="65">
        <v>432652</v>
      </c>
      <c r="I53" s="65">
        <v>152024</v>
      </c>
      <c r="J53" s="65">
        <v>131177</v>
      </c>
      <c r="K53" s="65">
        <v>4466</v>
      </c>
      <c r="L53" s="65">
        <v>92083</v>
      </c>
      <c r="M53" s="65">
        <v>86063</v>
      </c>
      <c r="N53" s="66">
        <f>N49+1</f>
        <v>2007</v>
      </c>
      <c r="O53" s="67">
        <f>SUM(G50:G53)</f>
        <v>2720263</v>
      </c>
    </row>
    <row r="54" spans="1:15" x14ac:dyDescent="0.25">
      <c r="A54" s="64" t="s">
        <v>220</v>
      </c>
      <c r="B54" s="65">
        <v>42413</v>
      </c>
      <c r="C54" s="65">
        <v>151286</v>
      </c>
      <c r="D54" s="65">
        <v>405964</v>
      </c>
      <c r="E54" s="65">
        <v>599663</v>
      </c>
      <c r="F54" s="65">
        <v>112393</v>
      </c>
      <c r="G54" s="65">
        <v>712055</v>
      </c>
      <c r="H54" s="65">
        <v>433753</v>
      </c>
      <c r="I54" s="65">
        <v>128394</v>
      </c>
      <c r="J54" s="65">
        <v>132371</v>
      </c>
      <c r="K54" s="65">
        <v>23504</v>
      </c>
      <c r="L54" s="65">
        <v>80459</v>
      </c>
      <c r="M54" s="65">
        <v>86426</v>
      </c>
    </row>
    <row r="55" spans="1:15" x14ac:dyDescent="0.25">
      <c r="A55" s="64" t="s">
        <v>221</v>
      </c>
      <c r="B55" s="65">
        <v>43289</v>
      </c>
      <c r="C55" s="65">
        <v>176613</v>
      </c>
      <c r="D55" s="65">
        <v>431586</v>
      </c>
      <c r="E55" s="65">
        <v>651488</v>
      </c>
      <c r="F55" s="65">
        <v>118037</v>
      </c>
      <c r="G55" s="65">
        <v>769525</v>
      </c>
      <c r="H55" s="65">
        <v>456473</v>
      </c>
      <c r="I55" s="65">
        <v>139783</v>
      </c>
      <c r="J55" s="65">
        <v>147733</v>
      </c>
      <c r="K55" s="65">
        <v>25906</v>
      </c>
      <c r="L55" s="65">
        <v>98393</v>
      </c>
      <c r="M55" s="65">
        <v>98761</v>
      </c>
    </row>
    <row r="56" spans="1:15" x14ac:dyDescent="0.25">
      <c r="A56" s="64" t="s">
        <v>222</v>
      </c>
      <c r="B56" s="65">
        <v>34035</v>
      </c>
      <c r="C56" s="65">
        <v>204856</v>
      </c>
      <c r="D56" s="65">
        <v>448852</v>
      </c>
      <c r="E56" s="65">
        <v>687743</v>
      </c>
      <c r="F56" s="65">
        <v>124860</v>
      </c>
      <c r="G56" s="65">
        <v>812603</v>
      </c>
      <c r="H56" s="65">
        <v>480468</v>
      </c>
      <c r="I56" s="65">
        <v>144805</v>
      </c>
      <c r="J56" s="65">
        <v>168886</v>
      </c>
      <c r="K56" s="65">
        <v>17305</v>
      </c>
      <c r="L56" s="65">
        <v>115435</v>
      </c>
      <c r="M56" s="65">
        <v>114297</v>
      </c>
    </row>
    <row r="57" spans="1:15" x14ac:dyDescent="0.25">
      <c r="A57" s="64" t="s">
        <v>223</v>
      </c>
      <c r="B57" s="65">
        <v>22315</v>
      </c>
      <c r="C57" s="65">
        <v>185152</v>
      </c>
      <c r="D57" s="65">
        <v>480117</v>
      </c>
      <c r="E57" s="65">
        <v>687584</v>
      </c>
      <c r="F57" s="65">
        <v>128036</v>
      </c>
      <c r="G57" s="65">
        <v>815620</v>
      </c>
      <c r="H57" s="65">
        <v>486816</v>
      </c>
      <c r="I57" s="65">
        <v>172887</v>
      </c>
      <c r="J57" s="65">
        <v>153856</v>
      </c>
      <c r="K57" s="65">
        <v>2760</v>
      </c>
      <c r="L57" s="65">
        <v>126594</v>
      </c>
      <c r="M57" s="65">
        <v>127292</v>
      </c>
      <c r="N57" s="66">
        <f>N53+1</f>
        <v>2008</v>
      </c>
      <c r="O57" s="67">
        <f>SUM(G54:G57)</f>
        <v>3109803</v>
      </c>
    </row>
    <row r="58" spans="1:15" x14ac:dyDescent="0.25">
      <c r="A58" s="64" t="s">
        <v>224</v>
      </c>
      <c r="B58" s="65">
        <v>41178</v>
      </c>
      <c r="C58" s="65">
        <v>152809</v>
      </c>
      <c r="D58" s="65">
        <v>453119</v>
      </c>
      <c r="E58" s="65">
        <v>647106</v>
      </c>
      <c r="F58" s="65">
        <v>109021</v>
      </c>
      <c r="G58" s="65">
        <v>756127</v>
      </c>
      <c r="H58" s="65">
        <v>474264</v>
      </c>
      <c r="I58" s="65">
        <v>150521</v>
      </c>
      <c r="J58" s="65">
        <v>134945</v>
      </c>
      <c r="K58" s="65">
        <v>2750</v>
      </c>
      <c r="L58" s="65">
        <v>87415</v>
      </c>
      <c r="M58" s="65">
        <v>93767</v>
      </c>
    </row>
    <row r="59" spans="1:15" x14ac:dyDescent="0.25">
      <c r="A59" s="64" t="s">
        <v>225</v>
      </c>
      <c r="B59" s="65">
        <v>40931</v>
      </c>
      <c r="C59" s="65">
        <v>173009</v>
      </c>
      <c r="D59" s="65">
        <v>475784</v>
      </c>
      <c r="E59" s="65">
        <v>689724</v>
      </c>
      <c r="F59" s="65">
        <v>113854</v>
      </c>
      <c r="G59" s="65">
        <v>803577</v>
      </c>
      <c r="H59" s="65">
        <v>504220</v>
      </c>
      <c r="I59" s="65">
        <v>150885</v>
      </c>
      <c r="J59" s="65">
        <v>147362</v>
      </c>
      <c r="K59" s="65">
        <v>-3884</v>
      </c>
      <c r="L59" s="65">
        <v>93900</v>
      </c>
      <c r="M59" s="65">
        <v>88904</v>
      </c>
    </row>
    <row r="60" spans="1:15" x14ac:dyDescent="0.25">
      <c r="A60" s="64" t="s">
        <v>226</v>
      </c>
      <c r="B60" s="65">
        <v>37986</v>
      </c>
      <c r="C60" s="65">
        <v>192928</v>
      </c>
      <c r="D60" s="65">
        <v>500473</v>
      </c>
      <c r="E60" s="65">
        <v>731387</v>
      </c>
      <c r="F60" s="65">
        <v>121456</v>
      </c>
      <c r="G60" s="65">
        <v>852843</v>
      </c>
      <c r="H60" s="65">
        <v>534397</v>
      </c>
      <c r="I60" s="65">
        <v>157480</v>
      </c>
      <c r="J60" s="65">
        <v>172382</v>
      </c>
      <c r="K60" s="65">
        <v>-8458</v>
      </c>
      <c r="L60" s="65">
        <v>92906</v>
      </c>
      <c r="M60" s="65">
        <v>95863</v>
      </c>
    </row>
    <row r="61" spans="1:15" x14ac:dyDescent="0.25">
      <c r="A61" s="64" t="s">
        <v>227</v>
      </c>
      <c r="B61" s="65">
        <v>29117</v>
      </c>
      <c r="C61" s="65">
        <v>210476</v>
      </c>
      <c r="D61" s="65">
        <v>541953</v>
      </c>
      <c r="E61" s="65">
        <v>781546</v>
      </c>
      <c r="F61" s="65">
        <v>138945</v>
      </c>
      <c r="G61" s="65">
        <v>920492</v>
      </c>
      <c r="H61" s="65">
        <v>552152</v>
      </c>
      <c r="I61" s="65">
        <v>196078</v>
      </c>
      <c r="J61" s="65">
        <v>181988</v>
      </c>
      <c r="K61" s="65">
        <v>-601</v>
      </c>
      <c r="L61" s="65">
        <v>87460</v>
      </c>
      <c r="M61" s="65">
        <v>96585</v>
      </c>
      <c r="N61" s="66">
        <f>N57+1</f>
        <v>2009</v>
      </c>
      <c r="O61" s="67">
        <f>SUM(G58:G61)</f>
        <v>3333039</v>
      </c>
    </row>
    <row r="62" spans="1:15" x14ac:dyDescent="0.25">
      <c r="A62" s="64" t="s">
        <v>228</v>
      </c>
      <c r="B62" s="65">
        <v>43763</v>
      </c>
      <c r="C62" s="65">
        <v>192711</v>
      </c>
      <c r="D62" s="65">
        <v>516585</v>
      </c>
      <c r="E62" s="65">
        <v>753060</v>
      </c>
      <c r="F62" s="65">
        <v>133337</v>
      </c>
      <c r="G62" s="65">
        <v>886397</v>
      </c>
      <c r="H62" s="65">
        <v>546392</v>
      </c>
      <c r="I62" s="65">
        <v>163726</v>
      </c>
      <c r="J62" s="65">
        <v>177984</v>
      </c>
      <c r="K62" s="65">
        <v>12769</v>
      </c>
      <c r="L62" s="65">
        <v>86801</v>
      </c>
      <c r="M62" s="65">
        <v>101274</v>
      </c>
    </row>
    <row r="63" spans="1:15" x14ac:dyDescent="0.25">
      <c r="A63" s="64" t="s">
        <v>229</v>
      </c>
      <c r="B63" s="65">
        <v>40362</v>
      </c>
      <c r="C63" s="65">
        <v>221147</v>
      </c>
      <c r="D63" s="65">
        <v>540506</v>
      </c>
      <c r="E63" s="65">
        <v>802015</v>
      </c>
      <c r="F63" s="65">
        <v>142130</v>
      </c>
      <c r="G63" s="65">
        <v>944145</v>
      </c>
      <c r="H63" s="65">
        <v>568567</v>
      </c>
      <c r="I63" s="65">
        <v>172803</v>
      </c>
      <c r="J63" s="65">
        <v>193393</v>
      </c>
      <c r="K63" s="65">
        <v>15269</v>
      </c>
      <c r="L63" s="65">
        <v>105294</v>
      </c>
      <c r="M63" s="65">
        <v>111182</v>
      </c>
    </row>
    <row r="64" spans="1:15" x14ac:dyDescent="0.25">
      <c r="A64" s="64" t="s">
        <v>230</v>
      </c>
      <c r="B64" s="65">
        <v>41884</v>
      </c>
      <c r="C64" s="65">
        <v>245530</v>
      </c>
      <c r="D64" s="65">
        <v>562515</v>
      </c>
      <c r="E64" s="65">
        <v>849929</v>
      </c>
      <c r="F64" s="65">
        <v>148006</v>
      </c>
      <c r="G64" s="65">
        <v>997935</v>
      </c>
      <c r="H64" s="65">
        <v>596732</v>
      </c>
      <c r="I64" s="65">
        <v>179940</v>
      </c>
      <c r="J64" s="65">
        <v>214814</v>
      </c>
      <c r="K64" s="65">
        <v>19071</v>
      </c>
      <c r="L64" s="65">
        <v>114225</v>
      </c>
      <c r="M64" s="65">
        <v>126847</v>
      </c>
    </row>
    <row r="65" spans="1:15" x14ac:dyDescent="0.25">
      <c r="A65" s="64" t="s">
        <v>231</v>
      </c>
      <c r="B65" s="65">
        <v>33923</v>
      </c>
      <c r="C65" s="65">
        <v>244769</v>
      </c>
      <c r="D65" s="65">
        <v>619144</v>
      </c>
      <c r="E65" s="65">
        <v>897836</v>
      </c>
      <c r="F65" s="65">
        <v>159534</v>
      </c>
      <c r="G65" s="65">
        <v>1057370</v>
      </c>
      <c r="H65" s="65">
        <v>628475</v>
      </c>
      <c r="I65" s="65">
        <v>222498</v>
      </c>
      <c r="J65" s="65">
        <v>211755</v>
      </c>
      <c r="K65" s="65">
        <v>2111</v>
      </c>
      <c r="L65" s="65">
        <v>115900</v>
      </c>
      <c r="M65" s="65">
        <v>123369</v>
      </c>
      <c r="N65" s="66">
        <f>N61+1</f>
        <v>2010</v>
      </c>
      <c r="O65" s="67">
        <f>SUM(G62:G65)</f>
        <v>3885847</v>
      </c>
    </row>
    <row r="66" spans="1:15" x14ac:dyDescent="0.25">
      <c r="A66" s="64" t="s">
        <v>232</v>
      </c>
      <c r="B66" s="65">
        <v>53738</v>
      </c>
      <c r="C66" s="65">
        <v>228636</v>
      </c>
      <c r="D66" s="65">
        <v>578819</v>
      </c>
      <c r="E66" s="65">
        <v>861194</v>
      </c>
      <c r="F66" s="65">
        <v>155337</v>
      </c>
      <c r="G66" s="65">
        <v>1016531</v>
      </c>
      <c r="H66" s="65">
        <v>623585</v>
      </c>
      <c r="I66" s="65">
        <v>177786</v>
      </c>
      <c r="J66" s="65">
        <v>209987</v>
      </c>
      <c r="K66" s="65">
        <v>17803</v>
      </c>
      <c r="L66" s="65">
        <v>103744</v>
      </c>
      <c r="M66" s="65">
        <v>116374</v>
      </c>
    </row>
    <row r="67" spans="1:15" x14ac:dyDescent="0.25">
      <c r="A67" s="64" t="s">
        <v>233</v>
      </c>
      <c r="B67" s="65">
        <v>53828</v>
      </c>
      <c r="C67" s="65">
        <v>250398</v>
      </c>
      <c r="D67" s="65">
        <v>621996</v>
      </c>
      <c r="E67" s="65">
        <v>926222</v>
      </c>
      <c r="F67" s="65">
        <v>160490</v>
      </c>
      <c r="G67" s="65">
        <v>1086712</v>
      </c>
      <c r="H67" s="65">
        <v>648649</v>
      </c>
      <c r="I67" s="65">
        <v>199020</v>
      </c>
      <c r="J67" s="65">
        <v>220962</v>
      </c>
      <c r="K67" s="65">
        <v>24041</v>
      </c>
      <c r="L67" s="65">
        <v>124993</v>
      </c>
      <c r="M67" s="65">
        <v>130951</v>
      </c>
    </row>
    <row r="68" spans="1:15" x14ac:dyDescent="0.25">
      <c r="A68" s="64" t="s">
        <v>234</v>
      </c>
      <c r="B68" s="65">
        <v>48551</v>
      </c>
      <c r="C68" s="65">
        <v>263385</v>
      </c>
      <c r="D68" s="65">
        <v>633878</v>
      </c>
      <c r="E68" s="65">
        <v>945813</v>
      </c>
      <c r="F68" s="65">
        <v>166521</v>
      </c>
      <c r="G68" s="65">
        <v>1112334</v>
      </c>
      <c r="H68" s="65">
        <v>668612</v>
      </c>
      <c r="I68" s="65">
        <v>199027</v>
      </c>
      <c r="J68" s="65">
        <v>237137</v>
      </c>
      <c r="K68" s="65">
        <v>12050</v>
      </c>
      <c r="L68" s="65">
        <v>137086</v>
      </c>
      <c r="M68" s="65">
        <v>141579</v>
      </c>
    </row>
    <row r="69" spans="1:15" x14ac:dyDescent="0.25">
      <c r="A69" s="64" t="s">
        <v>235</v>
      </c>
      <c r="B69" s="65">
        <v>33907</v>
      </c>
      <c r="C69" s="65">
        <v>268615</v>
      </c>
      <c r="D69" s="65">
        <v>684710</v>
      </c>
      <c r="E69" s="65">
        <v>987232</v>
      </c>
      <c r="F69" s="65">
        <v>173573</v>
      </c>
      <c r="G69" s="65">
        <v>1160805</v>
      </c>
      <c r="H69" s="65">
        <v>696968</v>
      </c>
      <c r="I69" s="65">
        <v>241205</v>
      </c>
      <c r="J69" s="65">
        <v>233842</v>
      </c>
      <c r="K69" s="65">
        <v>-620</v>
      </c>
      <c r="L69" s="65">
        <v>141072</v>
      </c>
      <c r="M69" s="65">
        <v>151662</v>
      </c>
      <c r="N69" s="66">
        <f>N65+1</f>
        <v>2011</v>
      </c>
      <c r="O69" s="67">
        <f>SUM(G66:G69)</f>
        <v>4376382</v>
      </c>
    </row>
    <row r="70" spans="1:15" x14ac:dyDescent="0.25">
      <c r="A70" s="64" t="s">
        <v>236</v>
      </c>
      <c r="B70" s="65">
        <v>54309</v>
      </c>
      <c r="C70" s="65">
        <v>248133</v>
      </c>
      <c r="D70" s="65">
        <v>659567</v>
      </c>
      <c r="E70" s="65">
        <v>962010</v>
      </c>
      <c r="F70" s="65">
        <v>167464</v>
      </c>
      <c r="G70" s="65">
        <v>1129474</v>
      </c>
      <c r="H70" s="65">
        <v>694701</v>
      </c>
      <c r="I70" s="65">
        <v>194540</v>
      </c>
      <c r="J70" s="65">
        <v>233275</v>
      </c>
      <c r="K70" s="65">
        <v>24964</v>
      </c>
      <c r="L70" s="65">
        <v>119043</v>
      </c>
      <c r="M70" s="65">
        <v>137048</v>
      </c>
    </row>
    <row r="71" spans="1:15" x14ac:dyDescent="0.25">
      <c r="A71" s="64" t="s">
        <v>237</v>
      </c>
      <c r="B71" s="65">
        <v>55518</v>
      </c>
      <c r="C71" s="65">
        <v>263934</v>
      </c>
      <c r="D71" s="65">
        <v>688921</v>
      </c>
      <c r="E71" s="65">
        <v>1008373</v>
      </c>
      <c r="F71" s="65">
        <v>174753</v>
      </c>
      <c r="G71" s="65">
        <v>1183126</v>
      </c>
      <c r="H71" s="65">
        <v>718126</v>
      </c>
      <c r="I71" s="65">
        <v>215509</v>
      </c>
      <c r="J71" s="65">
        <v>244239</v>
      </c>
      <c r="K71" s="65">
        <v>19679</v>
      </c>
      <c r="L71" s="65">
        <v>146496</v>
      </c>
      <c r="M71" s="65">
        <v>160923</v>
      </c>
    </row>
    <row r="72" spans="1:15" x14ac:dyDescent="0.25">
      <c r="A72" s="64" t="s">
        <v>238</v>
      </c>
      <c r="B72" s="65">
        <v>51699</v>
      </c>
      <c r="C72" s="65">
        <v>280234</v>
      </c>
      <c r="D72" s="65">
        <v>710283</v>
      </c>
      <c r="E72" s="65">
        <v>1042216</v>
      </c>
      <c r="F72" s="65">
        <v>188233</v>
      </c>
      <c r="G72" s="65">
        <v>1230449</v>
      </c>
      <c r="H72" s="65">
        <v>753551</v>
      </c>
      <c r="I72" s="65">
        <v>215553</v>
      </c>
      <c r="J72" s="65">
        <v>259597</v>
      </c>
      <c r="K72" s="65">
        <v>11259</v>
      </c>
      <c r="L72" s="65">
        <v>153303</v>
      </c>
      <c r="M72" s="65">
        <v>162814</v>
      </c>
    </row>
    <row r="73" spans="1:15" x14ac:dyDescent="0.25">
      <c r="A73" s="64" t="s">
        <v>239</v>
      </c>
      <c r="B73" s="65">
        <v>39168</v>
      </c>
      <c r="C73" s="65">
        <v>273380</v>
      </c>
      <c r="D73" s="65">
        <v>769112</v>
      </c>
      <c r="E73" s="65">
        <v>1081660</v>
      </c>
      <c r="F73" s="65">
        <v>190051</v>
      </c>
      <c r="G73" s="65">
        <v>1271712</v>
      </c>
      <c r="H73" s="65">
        <v>790457</v>
      </c>
      <c r="I73" s="65">
        <v>266578</v>
      </c>
      <c r="J73" s="65">
        <v>260349</v>
      </c>
      <c r="K73" s="65">
        <v>-22174</v>
      </c>
      <c r="L73" s="65">
        <v>153034</v>
      </c>
      <c r="M73" s="65">
        <v>176532</v>
      </c>
      <c r="N73" s="66">
        <f>N69+1</f>
        <v>2012</v>
      </c>
      <c r="O73" s="67">
        <f>SUM(G70:G73)</f>
        <v>4814761</v>
      </c>
    </row>
    <row r="74" spans="1:15" x14ac:dyDescent="0.25">
      <c r="A74" s="64" t="s">
        <v>240</v>
      </c>
      <c r="B74" s="65">
        <v>70383</v>
      </c>
      <c r="C74" s="65">
        <v>259834</v>
      </c>
      <c r="D74" s="65">
        <v>731039</v>
      </c>
      <c r="E74" s="65">
        <v>1061256</v>
      </c>
      <c r="F74" s="65">
        <v>180358</v>
      </c>
      <c r="G74" s="65">
        <v>1241614</v>
      </c>
      <c r="H74" s="65">
        <v>777713</v>
      </c>
      <c r="I74" s="65">
        <v>214488</v>
      </c>
      <c r="J74" s="65">
        <v>256607</v>
      </c>
      <c r="K74" s="65">
        <v>31764</v>
      </c>
      <c r="L74" s="65">
        <v>125321</v>
      </c>
      <c r="M74" s="65">
        <v>164279</v>
      </c>
    </row>
    <row r="75" spans="1:15" x14ac:dyDescent="0.25">
      <c r="A75" s="64" t="s">
        <v>241</v>
      </c>
      <c r="B75" s="65">
        <v>65607</v>
      </c>
      <c r="C75" s="65">
        <v>281660</v>
      </c>
      <c r="D75" s="65">
        <v>782556</v>
      </c>
      <c r="E75" s="65">
        <v>1129823</v>
      </c>
      <c r="F75" s="65">
        <v>192757</v>
      </c>
      <c r="G75" s="65">
        <v>1322580</v>
      </c>
      <c r="H75" s="65">
        <v>805985</v>
      </c>
      <c r="I75" s="65">
        <v>247033</v>
      </c>
      <c r="J75" s="65">
        <v>279535</v>
      </c>
      <c r="K75" s="65">
        <v>15103</v>
      </c>
      <c r="L75" s="65">
        <v>156293</v>
      </c>
      <c r="M75" s="65">
        <v>181368</v>
      </c>
    </row>
    <row r="76" spans="1:15" x14ac:dyDescent="0.25">
      <c r="A76" s="64" t="s">
        <v>242</v>
      </c>
      <c r="B76" s="65">
        <v>58678</v>
      </c>
      <c r="C76" s="65">
        <v>301155</v>
      </c>
      <c r="D76" s="65">
        <v>803744</v>
      </c>
      <c r="E76" s="65">
        <v>1163577</v>
      </c>
      <c r="F76" s="65">
        <v>190557</v>
      </c>
      <c r="G76" s="65">
        <v>1354134</v>
      </c>
      <c r="H76" s="65">
        <v>833145</v>
      </c>
      <c r="I76" s="65">
        <v>244366</v>
      </c>
      <c r="J76" s="65">
        <v>291365</v>
      </c>
      <c r="K76" s="65">
        <v>17267</v>
      </c>
      <c r="L76" s="65">
        <v>169810</v>
      </c>
      <c r="M76" s="65">
        <v>201819</v>
      </c>
    </row>
    <row r="77" spans="1:15" x14ac:dyDescent="0.25">
      <c r="A77" s="64" t="s">
        <v>243</v>
      </c>
      <c r="B77" s="65">
        <v>45623</v>
      </c>
      <c r="C77" s="65">
        <v>288977</v>
      </c>
      <c r="D77" s="65">
        <v>864505</v>
      </c>
      <c r="E77" s="65">
        <v>1199104</v>
      </c>
      <c r="F77" s="65">
        <v>214186</v>
      </c>
      <c r="G77" s="65">
        <v>1413291</v>
      </c>
      <c r="H77" s="65">
        <v>873579</v>
      </c>
      <c r="I77" s="65">
        <v>301388</v>
      </c>
      <c r="J77" s="65">
        <v>287437</v>
      </c>
      <c r="K77" s="65">
        <v>-22449</v>
      </c>
      <c r="L77" s="65">
        <v>174627</v>
      </c>
      <c r="M77" s="65">
        <v>201291</v>
      </c>
      <c r="N77" s="66">
        <f>N73+1</f>
        <v>2013</v>
      </c>
      <c r="O77" s="67">
        <f>SUM(G74:G77)</f>
        <v>5331619</v>
      </c>
    </row>
    <row r="78" spans="1:15" x14ac:dyDescent="0.25">
      <c r="A78" s="64" t="s">
        <v>244</v>
      </c>
      <c r="B78" s="65">
        <v>74132</v>
      </c>
      <c r="C78" s="65">
        <v>283281</v>
      </c>
      <c r="D78" s="65">
        <v>831458</v>
      </c>
      <c r="E78" s="65">
        <v>1188871</v>
      </c>
      <c r="F78" s="65">
        <v>197109</v>
      </c>
      <c r="G78" s="65">
        <v>1385980</v>
      </c>
      <c r="H78" s="65">
        <v>873826</v>
      </c>
      <c r="I78" s="65">
        <v>244483</v>
      </c>
      <c r="J78" s="65">
        <v>287396</v>
      </c>
      <c r="K78" s="65">
        <v>26691</v>
      </c>
      <c r="L78" s="65">
        <v>144492</v>
      </c>
      <c r="M78" s="65">
        <v>190909</v>
      </c>
    </row>
    <row r="79" spans="1:15" x14ac:dyDescent="0.25">
      <c r="A79" s="64" t="s">
        <v>245</v>
      </c>
      <c r="B79" s="65">
        <v>72794</v>
      </c>
      <c r="C79" s="65">
        <v>285802</v>
      </c>
      <c r="D79" s="65">
        <v>867582</v>
      </c>
      <c r="E79" s="65">
        <v>1226178</v>
      </c>
      <c r="F79" s="65">
        <v>196142</v>
      </c>
      <c r="G79" s="65">
        <v>1422320</v>
      </c>
      <c r="H79" s="65">
        <v>888390</v>
      </c>
      <c r="I79" s="65">
        <v>269157</v>
      </c>
      <c r="J79" s="65">
        <v>282407</v>
      </c>
      <c r="K79" s="65">
        <v>9825</v>
      </c>
      <c r="L79" s="65">
        <v>162059</v>
      </c>
      <c r="M79" s="65">
        <v>189519</v>
      </c>
    </row>
    <row r="80" spans="1:15" x14ac:dyDescent="0.25">
      <c r="A80" s="64" t="s">
        <v>246</v>
      </c>
      <c r="B80" s="65">
        <v>58876</v>
      </c>
      <c r="C80" s="65">
        <v>315401</v>
      </c>
      <c r="D80" s="65">
        <v>893395</v>
      </c>
      <c r="E80" s="65">
        <v>1267673</v>
      </c>
      <c r="F80" s="65">
        <v>194453</v>
      </c>
      <c r="G80" s="65">
        <v>1462126</v>
      </c>
      <c r="H80" s="65">
        <v>912055</v>
      </c>
      <c r="I80" s="65">
        <v>272878</v>
      </c>
      <c r="J80" s="65">
        <v>289656</v>
      </c>
      <c r="K80" s="65">
        <v>20313</v>
      </c>
      <c r="L80" s="65">
        <v>171655</v>
      </c>
      <c r="M80" s="65">
        <v>204433</v>
      </c>
    </row>
    <row r="81" spans="1:15" x14ac:dyDescent="0.25">
      <c r="A81" s="64" t="s">
        <v>247</v>
      </c>
      <c r="B81" s="65">
        <v>44173</v>
      </c>
      <c r="C81" s="65">
        <v>298610</v>
      </c>
      <c r="D81" s="65">
        <v>947229</v>
      </c>
      <c r="E81" s="65">
        <v>1290012</v>
      </c>
      <c r="F81" s="65">
        <v>218515</v>
      </c>
      <c r="G81" s="65">
        <v>1508527</v>
      </c>
      <c r="H81" s="65">
        <v>964132</v>
      </c>
      <c r="I81" s="65">
        <v>320356</v>
      </c>
      <c r="J81" s="65">
        <v>288993</v>
      </c>
      <c r="K81" s="65">
        <v>-17800</v>
      </c>
      <c r="L81" s="65">
        <v>158169</v>
      </c>
      <c r="M81" s="65">
        <v>205322</v>
      </c>
      <c r="N81" s="66">
        <f>N77+1</f>
        <v>2014</v>
      </c>
      <c r="O81" s="67">
        <f>SUM(G78:G81)</f>
        <v>5778953</v>
      </c>
    </row>
    <row r="82" spans="1:15" x14ac:dyDescent="0.25">
      <c r="A82" s="64" t="s">
        <v>248</v>
      </c>
      <c r="B82" s="65">
        <v>78599</v>
      </c>
      <c r="C82" s="65">
        <v>278513</v>
      </c>
      <c r="D82" s="65">
        <v>892867</v>
      </c>
      <c r="E82" s="65">
        <v>1249980</v>
      </c>
      <c r="F82" s="65">
        <v>206691</v>
      </c>
      <c r="G82" s="65">
        <v>1456671</v>
      </c>
      <c r="H82" s="65">
        <v>936572</v>
      </c>
      <c r="I82" s="65">
        <v>266319</v>
      </c>
      <c r="J82" s="65">
        <v>277308</v>
      </c>
      <c r="K82" s="65">
        <v>24836</v>
      </c>
      <c r="L82" s="65">
        <v>153346</v>
      </c>
      <c r="M82" s="65">
        <v>201711</v>
      </c>
    </row>
    <row r="83" spans="1:15" x14ac:dyDescent="0.25">
      <c r="A83" s="64" t="s">
        <v>249</v>
      </c>
      <c r="B83" s="65">
        <v>72129</v>
      </c>
      <c r="C83" s="65">
        <v>283635</v>
      </c>
      <c r="D83" s="65">
        <v>917901</v>
      </c>
      <c r="E83" s="65">
        <v>1273665</v>
      </c>
      <c r="F83" s="65">
        <v>206316</v>
      </c>
      <c r="G83" s="65">
        <v>1479981</v>
      </c>
      <c r="H83" s="65">
        <v>938600</v>
      </c>
      <c r="I83" s="65">
        <v>290182</v>
      </c>
      <c r="J83" s="65">
        <v>267004</v>
      </c>
      <c r="K83" s="65">
        <v>-734</v>
      </c>
      <c r="L83" s="65">
        <v>189848</v>
      </c>
      <c r="M83" s="65">
        <v>204919</v>
      </c>
    </row>
    <row r="84" spans="1:15" x14ac:dyDescent="0.25">
      <c r="A84" s="64" t="s">
        <v>250</v>
      </c>
      <c r="B84" s="65">
        <v>61125</v>
      </c>
      <c r="C84" s="65">
        <v>307139</v>
      </c>
      <c r="D84" s="65">
        <v>929429</v>
      </c>
      <c r="E84" s="65">
        <v>1297693</v>
      </c>
      <c r="F84" s="65">
        <v>210533</v>
      </c>
      <c r="G84" s="65">
        <v>1508227</v>
      </c>
      <c r="H84" s="65">
        <v>959600</v>
      </c>
      <c r="I84" s="65">
        <v>287922</v>
      </c>
      <c r="J84" s="65">
        <v>270304</v>
      </c>
      <c r="K84" s="65">
        <v>-2492</v>
      </c>
      <c r="L84" s="65">
        <v>212638</v>
      </c>
      <c r="M84" s="65">
        <v>219745</v>
      </c>
    </row>
    <row r="85" spans="1:15" x14ac:dyDescent="0.25">
      <c r="A85" s="64" t="s">
        <v>251</v>
      </c>
      <c r="B85" s="65">
        <v>47114</v>
      </c>
      <c r="C85" s="65">
        <v>291499</v>
      </c>
      <c r="D85" s="65">
        <v>995650</v>
      </c>
      <c r="E85" s="65">
        <v>1334263</v>
      </c>
      <c r="F85" s="65">
        <v>216646</v>
      </c>
      <c r="G85" s="65">
        <v>1550909</v>
      </c>
      <c r="H85" s="65">
        <v>1000421</v>
      </c>
      <c r="I85" s="65">
        <v>341353</v>
      </c>
      <c r="J85" s="65">
        <v>254781</v>
      </c>
      <c r="K85" s="65">
        <v>-47042</v>
      </c>
      <c r="L85" s="65">
        <v>217636</v>
      </c>
      <c r="M85" s="65">
        <v>216239</v>
      </c>
      <c r="N85" s="66">
        <f>N81+1</f>
        <v>2015</v>
      </c>
      <c r="O85" s="67">
        <f>SUM(G82:G85)</f>
        <v>5995788</v>
      </c>
    </row>
    <row r="86" spans="1:15" x14ac:dyDescent="0.25">
      <c r="A86" s="64" t="s">
        <v>252</v>
      </c>
      <c r="B86" s="65">
        <v>87675</v>
      </c>
      <c r="C86" s="65">
        <v>262116</v>
      </c>
      <c r="D86" s="65">
        <v>937652</v>
      </c>
      <c r="E86" s="65">
        <v>1287443</v>
      </c>
      <c r="F86" s="65">
        <v>212783</v>
      </c>
      <c r="G86" s="65">
        <v>1500226</v>
      </c>
      <c r="H86" s="65">
        <v>974570</v>
      </c>
      <c r="I86" s="65">
        <v>284734</v>
      </c>
      <c r="J86" s="65">
        <v>240650</v>
      </c>
      <c r="K86" s="65">
        <v>771</v>
      </c>
      <c r="L86" s="65">
        <v>195364</v>
      </c>
      <c r="M86" s="65">
        <v>195863</v>
      </c>
    </row>
    <row r="87" spans="1:15" x14ac:dyDescent="0.25">
      <c r="A87" s="64" t="s">
        <v>253</v>
      </c>
      <c r="B87" s="65">
        <v>88562</v>
      </c>
      <c r="C87" s="65">
        <v>286419</v>
      </c>
      <c r="D87" s="65">
        <v>972889</v>
      </c>
      <c r="E87" s="65">
        <v>1347871</v>
      </c>
      <c r="F87" s="65">
        <v>211120</v>
      </c>
      <c r="G87" s="65">
        <v>1558992</v>
      </c>
      <c r="H87" s="65">
        <v>986760</v>
      </c>
      <c r="I87" s="65">
        <v>312089</v>
      </c>
      <c r="J87" s="65">
        <v>247838</v>
      </c>
      <c r="K87" s="65">
        <v>-3045</v>
      </c>
      <c r="L87" s="65">
        <v>208110</v>
      </c>
      <c r="M87" s="65">
        <v>192761</v>
      </c>
    </row>
    <row r="88" spans="1:15" x14ac:dyDescent="0.25">
      <c r="A88" s="64" t="s">
        <v>254</v>
      </c>
      <c r="B88" s="65">
        <v>76318</v>
      </c>
      <c r="C88" s="65">
        <v>302918</v>
      </c>
      <c r="D88" s="65">
        <v>988850</v>
      </c>
      <c r="E88" s="65">
        <v>1368086</v>
      </c>
      <c r="F88" s="65">
        <v>209100</v>
      </c>
      <c r="G88" s="65">
        <v>1577187</v>
      </c>
      <c r="H88" s="65">
        <v>1016030</v>
      </c>
      <c r="I88" s="65">
        <v>303263</v>
      </c>
      <c r="J88" s="65">
        <v>246622</v>
      </c>
      <c r="K88" s="65">
        <v>2968</v>
      </c>
      <c r="L88" s="65">
        <v>192894</v>
      </c>
      <c r="M88" s="65">
        <v>184589</v>
      </c>
    </row>
    <row r="89" spans="1:15" x14ac:dyDescent="0.25">
      <c r="A89" s="64" t="s">
        <v>255</v>
      </c>
      <c r="B89" s="65">
        <v>54099</v>
      </c>
      <c r="C89" s="65">
        <v>299267</v>
      </c>
      <c r="D89" s="65">
        <v>1063056</v>
      </c>
      <c r="E89" s="65">
        <v>1416422</v>
      </c>
      <c r="F89" s="65">
        <v>216503</v>
      </c>
      <c r="G89" s="65">
        <v>1632924</v>
      </c>
      <c r="H89" s="65">
        <v>1050776</v>
      </c>
      <c r="I89" s="65">
        <v>377559</v>
      </c>
      <c r="J89" s="65">
        <v>238162</v>
      </c>
      <c r="K89" s="65">
        <v>-35476</v>
      </c>
      <c r="L89" s="65">
        <v>185209</v>
      </c>
      <c r="M89" s="65">
        <v>183307</v>
      </c>
      <c r="N89" s="66">
        <f>N85+1</f>
        <v>2016</v>
      </c>
      <c r="O89" s="67">
        <f>SUM(G86:G89)</f>
        <v>6269329</v>
      </c>
    </row>
    <row r="90" spans="1:15" x14ac:dyDescent="0.25">
      <c r="A90" s="64" t="s">
        <v>256</v>
      </c>
      <c r="B90" s="65">
        <v>98067</v>
      </c>
      <c r="C90" s="65">
        <v>281520</v>
      </c>
      <c r="D90" s="65">
        <v>991830</v>
      </c>
      <c r="E90" s="65">
        <v>1371417</v>
      </c>
      <c r="F90" s="65">
        <v>214552</v>
      </c>
      <c r="G90" s="65">
        <v>1585969</v>
      </c>
      <c r="H90" s="65">
        <v>1017664</v>
      </c>
      <c r="I90" s="65">
        <v>302878</v>
      </c>
      <c r="J90" s="65">
        <v>230572</v>
      </c>
      <c r="K90" s="65">
        <v>26360</v>
      </c>
      <c r="L90" s="65">
        <v>192342</v>
      </c>
      <c r="M90" s="65">
        <v>183847</v>
      </c>
    </row>
    <row r="91" spans="1:15" x14ac:dyDescent="0.25">
      <c r="A91" s="64" t="s">
        <v>257</v>
      </c>
      <c r="B91" s="65">
        <v>84487</v>
      </c>
      <c r="C91" s="65">
        <v>292278</v>
      </c>
      <c r="D91" s="65">
        <v>1037980</v>
      </c>
      <c r="E91" s="65">
        <v>1414745</v>
      </c>
      <c r="F91" s="65">
        <v>216191</v>
      </c>
      <c r="G91" s="65">
        <v>1630936</v>
      </c>
      <c r="H91" s="65">
        <v>1035796</v>
      </c>
      <c r="I91" s="65">
        <v>333618</v>
      </c>
      <c r="J91" s="65">
        <v>233263</v>
      </c>
      <c r="K91" s="65">
        <v>-3126</v>
      </c>
      <c r="L91" s="65">
        <v>216286</v>
      </c>
      <c r="M91" s="65">
        <v>184901</v>
      </c>
    </row>
    <row r="92" spans="1:15" x14ac:dyDescent="0.25">
      <c r="A92" s="64" t="s">
        <v>258</v>
      </c>
      <c r="B92" s="65">
        <v>70330</v>
      </c>
      <c r="C92" s="65">
        <v>311515</v>
      </c>
      <c r="D92" s="65">
        <v>1039348</v>
      </c>
      <c r="E92" s="65">
        <v>1421193</v>
      </c>
      <c r="F92" s="65">
        <v>227378</v>
      </c>
      <c r="G92" s="65">
        <v>1648571</v>
      </c>
      <c r="H92" s="65">
        <v>1070399</v>
      </c>
      <c r="I92" s="65">
        <v>314362</v>
      </c>
      <c r="J92" s="65">
        <v>245492</v>
      </c>
      <c r="K92" s="65">
        <v>8136</v>
      </c>
      <c r="L92" s="65">
        <v>210484</v>
      </c>
      <c r="M92" s="65">
        <v>200301</v>
      </c>
    </row>
    <row r="93" spans="1:15" x14ac:dyDescent="0.25">
      <c r="A93" s="64" t="s">
        <v>259</v>
      </c>
      <c r="B93" s="65">
        <v>50087</v>
      </c>
      <c r="C93" s="65">
        <v>312487</v>
      </c>
      <c r="D93" s="65">
        <v>1101997</v>
      </c>
      <c r="E93" s="65">
        <v>1464570</v>
      </c>
      <c r="F93" s="65">
        <v>255432</v>
      </c>
      <c r="G93" s="65">
        <v>1720002</v>
      </c>
      <c r="H93" s="65">
        <v>1123400</v>
      </c>
      <c r="I93" s="65">
        <v>376900</v>
      </c>
      <c r="J93" s="65">
        <v>249451</v>
      </c>
      <c r="K93" s="65">
        <v>-26984</v>
      </c>
      <c r="L93" s="65">
        <v>205322</v>
      </c>
      <c r="M93" s="65">
        <v>208087</v>
      </c>
      <c r="N93" s="66">
        <f>N89+1</f>
        <v>2017</v>
      </c>
      <c r="O93" s="67">
        <f>SUM(G90:G93)</f>
        <v>6585478</v>
      </c>
    </row>
    <row r="94" spans="1:15" x14ac:dyDescent="0.25">
      <c r="A94" s="64" t="s">
        <v>260</v>
      </c>
      <c r="B94" s="65">
        <v>96951</v>
      </c>
      <c r="C94" s="65">
        <v>300129</v>
      </c>
      <c r="D94" s="65">
        <v>1044647</v>
      </c>
      <c r="E94" s="65">
        <v>1441728</v>
      </c>
      <c r="F94" s="65">
        <v>239139</v>
      </c>
      <c r="G94" s="65">
        <v>1680867</v>
      </c>
      <c r="H94" s="65">
        <v>1088330</v>
      </c>
      <c r="I94" s="65">
        <v>314918</v>
      </c>
      <c r="J94" s="65">
        <v>245211</v>
      </c>
      <c r="K94" s="65">
        <v>32611</v>
      </c>
      <c r="L94" s="65">
        <v>212295</v>
      </c>
      <c r="M94" s="65">
        <v>212497</v>
      </c>
    </row>
    <row r="95" spans="1:15" x14ac:dyDescent="0.25">
      <c r="A95" s="64" t="s">
        <v>261</v>
      </c>
      <c r="B95" s="65">
        <v>94672</v>
      </c>
      <c r="C95" s="65">
        <v>321124</v>
      </c>
      <c r="D95" s="65">
        <v>1077646</v>
      </c>
      <c r="E95" s="65">
        <v>1493442</v>
      </c>
      <c r="F95" s="65">
        <v>240011</v>
      </c>
      <c r="G95" s="65">
        <v>1733453</v>
      </c>
      <c r="H95" s="65">
        <v>1099265</v>
      </c>
      <c r="I95" s="65">
        <v>342318</v>
      </c>
      <c r="J95" s="65">
        <v>252748</v>
      </c>
      <c r="K95" s="65">
        <v>17999</v>
      </c>
      <c r="L95" s="65">
        <v>248776</v>
      </c>
      <c r="M95" s="65">
        <v>227654</v>
      </c>
    </row>
    <row r="96" spans="1:15" x14ac:dyDescent="0.25">
      <c r="A96" s="64" t="s">
        <v>262</v>
      </c>
      <c r="B96" s="65">
        <v>66727</v>
      </c>
      <c r="C96" s="65">
        <v>348584</v>
      </c>
      <c r="D96" s="65">
        <v>1099329</v>
      </c>
      <c r="E96" s="65">
        <v>1514640</v>
      </c>
      <c r="F96" s="65">
        <v>253697</v>
      </c>
      <c r="G96" s="65">
        <v>1768337</v>
      </c>
      <c r="H96" s="65">
        <v>1143250</v>
      </c>
      <c r="I96" s="65">
        <v>338329</v>
      </c>
      <c r="J96" s="65">
        <v>285425</v>
      </c>
      <c r="K96" s="65">
        <v>4059</v>
      </c>
      <c r="L96" s="65">
        <v>288214</v>
      </c>
      <c r="M96" s="65">
        <v>290940</v>
      </c>
    </row>
    <row r="97" spans="1:15" x14ac:dyDescent="0.25">
      <c r="A97" s="64" t="s">
        <v>263</v>
      </c>
      <c r="B97" s="65">
        <v>51260</v>
      </c>
      <c r="C97" s="65">
        <v>343373</v>
      </c>
      <c r="D97" s="65">
        <v>1166707</v>
      </c>
      <c r="E97" s="65">
        <v>1561340</v>
      </c>
      <c r="F97" s="65">
        <v>260144</v>
      </c>
      <c r="G97" s="65">
        <v>1821484</v>
      </c>
      <c r="H97" s="65">
        <v>1194956</v>
      </c>
      <c r="I97" s="65">
        <v>397914</v>
      </c>
      <c r="J97" s="65">
        <v>274025</v>
      </c>
      <c r="K97" s="65">
        <v>-54799</v>
      </c>
      <c r="L97" s="65">
        <v>275772</v>
      </c>
      <c r="M97" s="65">
        <v>266383</v>
      </c>
      <c r="N97" s="66">
        <f>N93+1</f>
        <v>2018</v>
      </c>
      <c r="O97" s="67">
        <f>SUM(G94:G97)</f>
        <v>7004141</v>
      </c>
    </row>
    <row r="98" spans="1:15" x14ac:dyDescent="0.25">
      <c r="A98" s="64" t="s">
        <v>264</v>
      </c>
      <c r="B98" s="65">
        <v>98689</v>
      </c>
      <c r="C98" s="65">
        <v>308626</v>
      </c>
      <c r="D98" s="65">
        <v>1107688</v>
      </c>
      <c r="E98" s="65">
        <v>1515003</v>
      </c>
      <c r="F98" s="65">
        <v>250630</v>
      </c>
      <c r="G98" s="65">
        <v>1765633</v>
      </c>
      <c r="H98" s="65">
        <v>1152732</v>
      </c>
      <c r="I98" s="65">
        <v>334108</v>
      </c>
      <c r="J98" s="65">
        <v>262807</v>
      </c>
      <c r="K98" s="65">
        <v>25096</v>
      </c>
      <c r="L98" s="65">
        <v>230962</v>
      </c>
      <c r="M98" s="65">
        <v>240072</v>
      </c>
    </row>
    <row r="99" spans="1:15" x14ac:dyDescent="0.25">
      <c r="A99" s="64" t="s">
        <v>265</v>
      </c>
      <c r="B99" s="65">
        <v>87809</v>
      </c>
      <c r="C99" s="65">
        <v>342640</v>
      </c>
      <c r="D99" s="65">
        <v>1153275</v>
      </c>
      <c r="E99" s="65">
        <v>1583724</v>
      </c>
      <c r="F99" s="65">
        <v>250642</v>
      </c>
      <c r="G99" s="65">
        <v>1834366</v>
      </c>
      <c r="H99" s="65">
        <v>1169900</v>
      </c>
      <c r="I99" s="65">
        <v>369610</v>
      </c>
      <c r="J99" s="65">
        <v>279733</v>
      </c>
      <c r="K99" s="65">
        <v>4267</v>
      </c>
      <c r="L99" s="65">
        <v>263792</v>
      </c>
      <c r="M99" s="65">
        <v>252936</v>
      </c>
    </row>
    <row r="100" spans="1:15" x14ac:dyDescent="0.25">
      <c r="A100" s="64" t="s">
        <v>266</v>
      </c>
      <c r="B100" s="65">
        <v>79660</v>
      </c>
      <c r="C100" s="65">
        <v>369278</v>
      </c>
      <c r="D100" s="65">
        <v>1175071</v>
      </c>
      <c r="E100" s="65">
        <v>1624009</v>
      </c>
      <c r="F100" s="65">
        <v>259994</v>
      </c>
      <c r="G100" s="65">
        <v>1884003</v>
      </c>
      <c r="H100" s="65">
        <v>1211903</v>
      </c>
      <c r="I100" s="65">
        <v>360046</v>
      </c>
      <c r="J100" s="65">
        <v>306151</v>
      </c>
      <c r="K100" s="65">
        <v>18926</v>
      </c>
      <c r="L100" s="65">
        <v>279002</v>
      </c>
      <c r="M100" s="65">
        <v>292025</v>
      </c>
    </row>
    <row r="101" spans="1:15" x14ac:dyDescent="0.25">
      <c r="A101" s="64" t="s">
        <v>267</v>
      </c>
      <c r="B101" s="65">
        <v>59881</v>
      </c>
      <c r="C101" s="65">
        <v>343004</v>
      </c>
      <c r="D101" s="65">
        <v>1244135</v>
      </c>
      <c r="E101" s="65">
        <v>1647020</v>
      </c>
      <c r="F101" s="65">
        <v>276001</v>
      </c>
      <c r="G101" s="65">
        <v>1923021</v>
      </c>
      <c r="H101" s="65">
        <v>1262583</v>
      </c>
      <c r="I101" s="65">
        <v>423399</v>
      </c>
      <c r="J101" s="65">
        <v>285508</v>
      </c>
      <c r="K101" s="65">
        <v>-41584</v>
      </c>
      <c r="L101" s="65">
        <v>271032</v>
      </c>
      <c r="M101" s="65">
        <v>277917</v>
      </c>
      <c r="N101" s="66">
        <f>N97+1</f>
        <v>2019</v>
      </c>
      <c r="O101" s="67">
        <f>SUM(G98:G101)</f>
        <v>7407023</v>
      </c>
    </row>
    <row r="102" spans="1:15" x14ac:dyDescent="0.25">
      <c r="A102" s="64" t="s">
        <v>268</v>
      </c>
      <c r="B102" s="65">
        <v>124866</v>
      </c>
      <c r="C102" s="65">
        <v>313521</v>
      </c>
      <c r="D102" s="65">
        <v>1143671</v>
      </c>
      <c r="E102" s="65">
        <v>1582058</v>
      </c>
      <c r="F102" s="65">
        <v>261805</v>
      </c>
      <c r="G102" s="65">
        <v>1843863</v>
      </c>
      <c r="H102" s="65">
        <v>1184872</v>
      </c>
      <c r="I102" s="65">
        <v>349885</v>
      </c>
      <c r="J102" s="65">
        <v>293311</v>
      </c>
      <c r="K102" s="65">
        <v>35522</v>
      </c>
      <c r="L102" s="65">
        <v>260691</v>
      </c>
      <c r="M102" s="65">
        <v>280418</v>
      </c>
    </row>
    <row r="103" spans="1:15" x14ac:dyDescent="0.25">
      <c r="A103" s="64" t="s">
        <v>269</v>
      </c>
      <c r="B103" s="65">
        <v>127239</v>
      </c>
      <c r="C103" s="65">
        <v>302755</v>
      </c>
      <c r="D103" s="65">
        <v>1103492</v>
      </c>
      <c r="E103" s="65">
        <v>1533485</v>
      </c>
      <c r="F103" s="65">
        <v>175275</v>
      </c>
      <c r="G103" s="65">
        <v>1708760</v>
      </c>
      <c r="H103" s="65">
        <v>1038340</v>
      </c>
      <c r="I103" s="65">
        <v>377507</v>
      </c>
      <c r="J103" s="65">
        <v>257463</v>
      </c>
      <c r="K103" s="65">
        <v>-24873</v>
      </c>
      <c r="L103" s="65">
        <v>324086</v>
      </c>
      <c r="M103" s="65">
        <v>263764</v>
      </c>
    </row>
    <row r="104" spans="1:15" x14ac:dyDescent="0.25">
      <c r="A104" s="64" t="s">
        <v>270</v>
      </c>
      <c r="B104" s="65">
        <v>105459</v>
      </c>
      <c r="C104" s="65">
        <v>354045</v>
      </c>
      <c r="D104" s="65">
        <v>1168093</v>
      </c>
      <c r="E104" s="65">
        <v>1627597</v>
      </c>
      <c r="F104" s="65">
        <v>264138</v>
      </c>
      <c r="G104" s="65">
        <v>1891735</v>
      </c>
      <c r="H104" s="65">
        <v>1167913</v>
      </c>
      <c r="I104" s="65">
        <v>371233</v>
      </c>
      <c r="J104" s="65">
        <v>306322</v>
      </c>
      <c r="K104" s="65">
        <v>-18087</v>
      </c>
      <c r="L104" s="65">
        <v>336965</v>
      </c>
      <c r="M104" s="65">
        <v>272610</v>
      </c>
    </row>
    <row r="105" spans="1:15" x14ac:dyDescent="0.25">
      <c r="A105" s="64" t="s">
        <v>271</v>
      </c>
      <c r="B105" s="65">
        <v>82275</v>
      </c>
      <c r="C105" s="65">
        <v>344234</v>
      </c>
      <c r="D105" s="65">
        <v>1271114</v>
      </c>
      <c r="E105" s="65">
        <v>1697623</v>
      </c>
      <c r="F105" s="65">
        <v>305877</v>
      </c>
      <c r="G105" s="65">
        <v>2003500</v>
      </c>
      <c r="H105" s="65">
        <v>1279785</v>
      </c>
      <c r="I105" s="65">
        <v>427658</v>
      </c>
      <c r="J105" s="65">
        <v>366638</v>
      </c>
      <c r="K105" s="65">
        <v>-68963</v>
      </c>
      <c r="L105" s="65">
        <v>334775</v>
      </c>
      <c r="M105" s="65">
        <v>336393</v>
      </c>
      <c r="N105" s="66">
        <f>N101+1</f>
        <v>2020</v>
      </c>
      <c r="O105" s="67">
        <f>SUM(G102:G105)</f>
        <v>7447858</v>
      </c>
    </row>
    <row r="106" spans="1:15" x14ac:dyDescent="0.25">
      <c r="A106" s="275" t="s">
        <v>272</v>
      </c>
      <c r="B106" s="275"/>
      <c r="C106" s="275"/>
      <c r="D106" s="275"/>
      <c r="E106" s="275"/>
      <c r="F106" s="275"/>
      <c r="G106" s="275"/>
      <c r="H106" s="275"/>
      <c r="I106" s="275"/>
      <c r="J106" s="275"/>
      <c r="K106" s="275"/>
      <c r="L106" s="275"/>
      <c r="M106" s="275"/>
    </row>
    <row r="1048576" spans="14:14" x14ac:dyDescent="0.25">
      <c r="N1048576" s="66"/>
    </row>
  </sheetData>
  <mergeCells count="6">
    <mergeCell ref="A106:M106"/>
    <mergeCell ref="A1:M1"/>
    <mergeCell ref="A2:M2"/>
    <mergeCell ref="A3:M3"/>
    <mergeCell ref="A4:A5"/>
    <mergeCell ref="B4:M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54</vt:i4>
      </vt:variant>
      <vt:variant>
        <vt:lpstr>Intervalos Nomeados</vt:lpstr>
      </vt:variant>
      <vt:variant>
        <vt:i4>5</vt:i4>
      </vt:variant>
    </vt:vector>
  </HeadingPairs>
  <TitlesOfParts>
    <vt:vector size="59" baseType="lpstr">
      <vt:lpstr>Sumário</vt:lpstr>
      <vt:lpstr>DADOS</vt:lpstr>
      <vt:lpstr>EmbDesemBUS</vt:lpstr>
      <vt:lpstr>Estacionamento</vt:lpstr>
      <vt:lpstr>Planilha4</vt:lpstr>
      <vt:lpstr>Sanitários</vt:lpstr>
      <vt:lpstr>Gráfico 1</vt:lpstr>
      <vt:lpstr>Tabela 1</vt:lpstr>
      <vt:lpstr>Tabela 2</vt:lpstr>
      <vt:lpstr>Gráfico 2</vt:lpstr>
      <vt:lpstr>Tabela 3</vt:lpstr>
      <vt:lpstr>Tabela 4</vt:lpstr>
      <vt:lpstr>Gráfico 3</vt:lpstr>
      <vt:lpstr>Tabela 5</vt:lpstr>
      <vt:lpstr>Tabela 6</vt:lpstr>
      <vt:lpstr>Tabela 7</vt:lpstr>
      <vt:lpstr>Tabela 8</vt:lpstr>
      <vt:lpstr>Tabela 9</vt:lpstr>
      <vt:lpstr>Gráfico 4</vt:lpstr>
      <vt:lpstr>Tabela 10</vt:lpstr>
      <vt:lpstr>Tabela 11</vt:lpstr>
      <vt:lpstr>Tabela 12</vt:lpstr>
      <vt:lpstr>Tabela 13</vt:lpstr>
      <vt:lpstr>Tabela 14</vt:lpstr>
      <vt:lpstr>Tabela 15</vt:lpstr>
      <vt:lpstr>Tabela 16</vt:lpstr>
      <vt:lpstr>Tabela 17</vt:lpstr>
      <vt:lpstr>Gráfico 5</vt:lpstr>
      <vt:lpstr>Tabela 18</vt:lpstr>
      <vt:lpstr>Tabela 19 e Gráfico 6</vt:lpstr>
      <vt:lpstr>Tabela 19 e Gráfico 6 (2)</vt:lpstr>
      <vt:lpstr>Var_pib_anual</vt:lpstr>
      <vt:lpstr>Var_pop_anual</vt:lpstr>
      <vt:lpstr>Var_pib_Var_pop_Demanda</vt:lpstr>
      <vt:lpstr>%_CO_CI_CP</vt:lpstr>
      <vt:lpstr>Emb_Desemb_Conc_CP_CI_CO</vt:lpstr>
      <vt:lpstr>Emb_Desemb_Conc_CO</vt:lpstr>
      <vt:lpstr>Pess_circ_Conc_CO</vt:lpstr>
      <vt:lpstr>Estac_Conc_CO</vt:lpstr>
      <vt:lpstr>Sanit_Conc_CO</vt:lpstr>
      <vt:lpstr>Emb_Desemb_Conc_CI</vt:lpstr>
      <vt:lpstr>Pess_circ_Conc_CI</vt:lpstr>
      <vt:lpstr>Estac_Conc_CI</vt:lpstr>
      <vt:lpstr>Sanit_Conc_CI</vt:lpstr>
      <vt:lpstr>Emb_Desemb_Conc_CP</vt:lpstr>
      <vt:lpstr>Pess_circ_Conc_CP</vt:lpstr>
      <vt:lpstr>Estac_Conc_CP</vt:lpstr>
      <vt:lpstr>Sanit_Conc_CP</vt:lpstr>
      <vt:lpstr>PIB</vt:lpstr>
      <vt:lpstr>Gráfico PIB</vt:lpstr>
      <vt:lpstr>Planilha3</vt:lpstr>
      <vt:lpstr>Planilha2</vt:lpstr>
      <vt:lpstr>Planilha1</vt:lpstr>
      <vt:lpstr>PIB mercado</vt:lpstr>
      <vt:lpstr>'Tabela 1'!_ftn1</vt:lpstr>
      <vt:lpstr>'Tabela 2'!_ftn1</vt:lpstr>
      <vt:lpstr>'Tabela 3'!_ftn1</vt:lpstr>
      <vt:lpstr>'Tabela 1'!_ftnref1</vt:lpstr>
      <vt:lpstr>'Tabela 2'!_ftnref1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PopCau</dc:creator>
  <cp:lastModifiedBy>PopCau</cp:lastModifiedBy>
  <dcterms:created xsi:type="dcterms:W3CDTF">2021-01-18T17:49:55Z</dcterms:created>
  <dcterms:modified xsi:type="dcterms:W3CDTF">2021-05-24T11:59:07Z</dcterms:modified>
</cp:coreProperties>
</file>